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Betriebsvergleich\Beratungsbrief_Überarbeitung\Kennzahlensystematik\"/>
    </mc:Choice>
  </mc:AlternateContent>
  <xr:revisionPtr revIDLastSave="0" documentId="13_ncr:1_{1E87C570-9797-474B-8518-3491C672D070}" xr6:coauthVersionLast="47" xr6:coauthVersionMax="47" xr10:uidLastSave="{00000000-0000-0000-0000-000000000000}"/>
  <bookViews>
    <workbookView xWindow="57480" yWindow="-11250" windowWidth="29040" windowHeight="17520" xr2:uid="{42A29BB2-C9CD-437D-9F96-98149005E855}"/>
  </bookViews>
  <sheets>
    <sheet name="Erläuterungen" sheetId="10" r:id="rId1"/>
    <sheet name="Kennzahlenlegende (Heft)" sheetId="9" r:id="rId2"/>
    <sheet name="1000_Arbeitskräfte" sheetId="3" r:id="rId3"/>
    <sheet name="2000_Flächen" sheetId="4" r:id="rId4"/>
    <sheet name="3000_Erträge" sheetId="1" r:id="rId5"/>
    <sheet name="4000_Aufwand" sheetId="2" r:id="rId6"/>
    <sheet name="5000_Vermögen" sheetId="5" r:id="rId7"/>
    <sheet name="6000_Kapital" sheetId="6" r:id="rId8"/>
    <sheet name="9000_Kennzahlen" sheetId="7" r:id="rId9"/>
    <sheet name="Hilfstabelle" sheetId="8" r:id="rId10"/>
    <sheet name="Änderungen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3" l="1"/>
  <c r="M9" i="3" s="1"/>
  <c r="A5" i="11"/>
  <c r="A4" i="11"/>
  <c r="J31" i="4"/>
  <c r="M64" i="2"/>
  <c r="N64" i="2"/>
  <c r="O64" i="2"/>
  <c r="P64" i="2"/>
  <c r="M96" i="2"/>
  <c r="N96" i="2"/>
  <c r="O96" i="2"/>
  <c r="P96" i="2"/>
  <c r="Q96" i="2"/>
  <c r="J34" i="4"/>
  <c r="J9" i="4"/>
  <c r="J59" i="4"/>
  <c r="J18" i="4"/>
  <c r="J32" i="4"/>
  <c r="A1" i="7"/>
  <c r="A1" i="6"/>
  <c r="A1" i="5"/>
  <c r="A1" i="2"/>
  <c r="A1" i="1"/>
  <c r="A1" i="4"/>
  <c r="A1" i="3"/>
  <c r="M143" i="1"/>
  <c r="O143" i="1"/>
  <c r="I161" i="11"/>
  <c r="I160" i="11"/>
  <c r="J145" i="2" l="1"/>
  <c r="J59" i="5"/>
  <c r="J144" i="2"/>
  <c r="J136" i="2"/>
  <c r="J146" i="2" l="1"/>
  <c r="N24" i="4"/>
  <c r="N26" i="4"/>
  <c r="J26" i="7"/>
  <c r="J25" i="2"/>
  <c r="J26" i="2"/>
  <c r="M18" i="2"/>
  <c r="N18" i="2"/>
  <c r="O18" i="2"/>
  <c r="P18" i="2"/>
  <c r="J50" i="7"/>
  <c r="J10" i="7"/>
  <c r="O32" i="1" l="1"/>
  <c r="J40" i="7" l="1"/>
  <c r="J42" i="7"/>
  <c r="J41" i="7"/>
  <c r="N42" i="7"/>
  <c r="O42" i="7"/>
  <c r="O40" i="7" l="1"/>
  <c r="N40" i="7"/>
  <c r="J139" i="2" l="1"/>
  <c r="P8" i="7" l="1"/>
  <c r="R5" i="7"/>
  <c r="R16" i="7" s="1"/>
  <c r="Q5" i="7"/>
  <c r="Q9" i="7" s="1"/>
  <c r="J149" i="2"/>
  <c r="Q16" i="7" l="1"/>
  <c r="Q8" i="7"/>
  <c r="Q19" i="7"/>
  <c r="Q21" i="7"/>
  <c r="Q13" i="7"/>
  <c r="Q20" i="7"/>
  <c r="Q12" i="7"/>
  <c r="Q11" i="7"/>
  <c r="Q18" i="7"/>
  <c r="Q10" i="7"/>
  <c r="Q17" i="7"/>
  <c r="Q43" i="6"/>
  <c r="Q5" i="6"/>
  <c r="Q18" i="6" s="1"/>
  <c r="P5" i="7"/>
  <c r="O5" i="7"/>
  <c r="O11" i="7" s="1"/>
  <c r="N5" i="7"/>
  <c r="N11" i="7" s="1"/>
  <c r="M5" i="7"/>
  <c r="M9" i="7" l="1"/>
  <c r="M42" i="7"/>
  <c r="M43" i="7"/>
  <c r="M40" i="7"/>
  <c r="M47" i="7"/>
  <c r="M41" i="7"/>
  <c r="N48" i="7"/>
  <c r="M24" i="7"/>
  <c r="N35" i="7"/>
  <c r="O29" i="7"/>
  <c r="M46" i="7"/>
  <c r="M34" i="7"/>
  <c r="O48" i="7"/>
  <c r="O26" i="7"/>
  <c r="O16" i="7"/>
  <c r="P21" i="7"/>
  <c r="M74" i="7"/>
  <c r="M33" i="7"/>
  <c r="N72" i="7"/>
  <c r="N45" i="7"/>
  <c r="N43" i="7"/>
  <c r="N32" i="7"/>
  <c r="O74" i="7"/>
  <c r="O47" i="7"/>
  <c r="O34" i="7"/>
  <c r="O25" i="7"/>
  <c r="P51" i="7"/>
  <c r="P20" i="7"/>
  <c r="N73" i="7"/>
  <c r="N24" i="7"/>
  <c r="O35" i="7"/>
  <c r="M32" i="7"/>
  <c r="N31" i="7"/>
  <c r="O46" i="7"/>
  <c r="O33" i="7"/>
  <c r="O24" i="7"/>
  <c r="P50" i="7"/>
  <c r="P19" i="7"/>
  <c r="N26" i="7"/>
  <c r="O37" i="7"/>
  <c r="O18" i="7"/>
  <c r="M45" i="7"/>
  <c r="N46" i="7"/>
  <c r="N33" i="7"/>
  <c r="M73" i="7"/>
  <c r="N71" i="7"/>
  <c r="N41" i="7"/>
  <c r="O73" i="7"/>
  <c r="M72" i="7"/>
  <c r="M31" i="7"/>
  <c r="N51" i="7"/>
  <c r="N39" i="7"/>
  <c r="N30" i="7"/>
  <c r="O72" i="7"/>
  <c r="O45" i="7"/>
  <c r="O43" i="7"/>
  <c r="O32" i="7"/>
  <c r="O21" i="7"/>
  <c r="P49" i="7"/>
  <c r="P18" i="7"/>
  <c r="M71" i="7"/>
  <c r="M30" i="7"/>
  <c r="N50" i="7"/>
  <c r="N37" i="7"/>
  <c r="N29" i="7"/>
  <c r="O71" i="7"/>
  <c r="O41" i="7"/>
  <c r="O31" i="7"/>
  <c r="O20" i="7"/>
  <c r="P48" i="7"/>
  <c r="P17" i="7"/>
  <c r="M51" i="7"/>
  <c r="M25" i="7"/>
  <c r="N49" i="7"/>
  <c r="N36" i="7"/>
  <c r="N27" i="7"/>
  <c r="O51" i="7"/>
  <c r="O39" i="7"/>
  <c r="O30" i="7"/>
  <c r="O19" i="7"/>
  <c r="P47" i="7"/>
  <c r="P16" i="7"/>
  <c r="O50" i="7"/>
  <c r="P46" i="7"/>
  <c r="M39" i="7"/>
  <c r="N74" i="7"/>
  <c r="N47" i="7"/>
  <c r="N34" i="7"/>
  <c r="N25" i="7"/>
  <c r="O49" i="7"/>
  <c r="O36" i="7"/>
  <c r="O27" i="7"/>
  <c r="O17" i="7"/>
  <c r="P45" i="7"/>
  <c r="R21" i="7"/>
  <c r="R20" i="7"/>
  <c r="R19" i="7"/>
  <c r="R13" i="7"/>
  <c r="R18" i="7"/>
  <c r="R17" i="7"/>
  <c r="R12" i="7"/>
  <c r="R11" i="7"/>
  <c r="R10" i="7"/>
  <c r="R9" i="7"/>
  <c r="Q17" i="6"/>
  <c r="Q16" i="6"/>
  <c r="Q20" i="6"/>
  <c r="Q19" i="6"/>
  <c r="M49" i="7"/>
  <c r="M36" i="7"/>
  <c r="M27" i="7"/>
  <c r="M50" i="7"/>
  <c r="M37" i="7"/>
  <c r="M29" i="7"/>
  <c r="M48" i="7"/>
  <c r="M35" i="7"/>
  <c r="M26" i="7"/>
  <c r="N12" i="7"/>
  <c r="O9" i="7"/>
  <c r="N10" i="7"/>
  <c r="N9" i="7"/>
  <c r="M11" i="7"/>
  <c r="P10" i="7"/>
  <c r="M10" i="7"/>
  <c r="O12" i="7"/>
  <c r="P9" i="7"/>
  <c r="N13" i="7"/>
  <c r="O10" i="7"/>
  <c r="P13" i="7"/>
  <c r="P12" i="7"/>
  <c r="P11" i="7"/>
  <c r="O13" i="7"/>
  <c r="R8" i="7"/>
  <c r="O8" i="7"/>
  <c r="N8" i="7"/>
  <c r="M8" i="7"/>
  <c r="J58" i="7"/>
  <c r="J57" i="7"/>
  <c r="R5" i="6"/>
  <c r="R12" i="6" s="1"/>
  <c r="Q5" i="5"/>
  <c r="N5" i="5"/>
  <c r="N18" i="5" s="1"/>
  <c r="M5" i="5"/>
  <c r="M63" i="5" s="1"/>
  <c r="Q5" i="2"/>
  <c r="Q132" i="2" s="1"/>
  <c r="P5" i="2"/>
  <c r="P141" i="2" s="1"/>
  <c r="O5" i="2"/>
  <c r="O20" i="2" s="1"/>
  <c r="N5" i="2"/>
  <c r="N8" i="2" s="1"/>
  <c r="M5" i="2"/>
  <c r="Q59" i="5" l="1"/>
  <c r="Q62" i="5"/>
  <c r="Q58" i="5"/>
  <c r="Q63" i="5"/>
  <c r="Q64" i="5"/>
  <c r="Q60" i="5"/>
  <c r="Q41" i="5"/>
  <c r="Q42" i="5"/>
  <c r="N58" i="5"/>
  <c r="N34" i="5"/>
  <c r="N24" i="5"/>
  <c r="N16" i="5"/>
  <c r="N25" i="5"/>
  <c r="N23" i="5"/>
  <c r="N14" i="5"/>
  <c r="N59" i="5"/>
  <c r="N8" i="5"/>
  <c r="N13" i="5"/>
  <c r="N35" i="5"/>
  <c r="N42" i="5"/>
  <c r="N32" i="5"/>
  <c r="N64" i="5"/>
  <c r="N39" i="5"/>
  <c r="N31" i="5"/>
  <c r="N21" i="5"/>
  <c r="N12" i="5"/>
  <c r="N17" i="5"/>
  <c r="N7" i="5"/>
  <c r="N33" i="5"/>
  <c r="N41" i="5"/>
  <c r="N22" i="5"/>
  <c r="N63" i="5"/>
  <c r="N38" i="5"/>
  <c r="N28" i="5"/>
  <c r="N20" i="5"/>
  <c r="N11" i="5"/>
  <c r="N37" i="5"/>
  <c r="N27" i="5"/>
  <c r="N19" i="5"/>
  <c r="N10" i="5"/>
  <c r="N62" i="5"/>
  <c r="N60" i="5"/>
  <c r="N36" i="5"/>
  <c r="N26" i="5"/>
  <c r="M20" i="2"/>
  <c r="M135" i="2"/>
  <c r="M75" i="2"/>
  <c r="M80" i="2"/>
  <c r="M13" i="2"/>
  <c r="Q46" i="5"/>
  <c r="Q47" i="5"/>
  <c r="Q48" i="5"/>
  <c r="Q49" i="5"/>
  <c r="Q44" i="5"/>
  <c r="Q50" i="5"/>
  <c r="Q52" i="5"/>
  <c r="Q45" i="5"/>
  <c r="Q53" i="5"/>
  <c r="Q54" i="5"/>
  <c r="Q32" i="5"/>
  <c r="Q33" i="5"/>
  <c r="Q22" i="5"/>
  <c r="Q16" i="5"/>
  <c r="Q34" i="5"/>
  <c r="Q31" i="5"/>
  <c r="Q17" i="5"/>
  <c r="Q19" i="5"/>
  <c r="Q35" i="5"/>
  <c r="Q24" i="5"/>
  <c r="Q18" i="5"/>
  <c r="Q25" i="5"/>
  <c r="Q36" i="5"/>
  <c r="Q23" i="5"/>
  <c r="Q37" i="5"/>
  <c r="Q26" i="5"/>
  <c r="Q20" i="5"/>
  <c r="Q28" i="5"/>
  <c r="Q38" i="5"/>
  <c r="Q27" i="5"/>
  <c r="Q21" i="5"/>
  <c r="Q39" i="5"/>
  <c r="M7" i="5"/>
  <c r="M33" i="5"/>
  <c r="M41" i="5"/>
  <c r="M22" i="5"/>
  <c r="M62" i="5"/>
  <c r="M39" i="5"/>
  <c r="M31" i="5"/>
  <c r="M21" i="5"/>
  <c r="M12" i="5"/>
  <c r="M60" i="5"/>
  <c r="M42" i="5"/>
  <c r="M14" i="5"/>
  <c r="M32" i="5"/>
  <c r="M13" i="5"/>
  <c r="M38" i="5"/>
  <c r="M28" i="5"/>
  <c r="M20" i="5"/>
  <c r="M11" i="5"/>
  <c r="M59" i="5"/>
  <c r="M19" i="5"/>
  <c r="M10" i="5"/>
  <c r="M8" i="5"/>
  <c r="M37" i="5"/>
  <c r="M27" i="5"/>
  <c r="M36" i="5"/>
  <c r="M26" i="5"/>
  <c r="M18" i="5"/>
  <c r="M35" i="5"/>
  <c r="M25" i="5"/>
  <c r="M17" i="5"/>
  <c r="M58" i="5"/>
  <c r="M34" i="5"/>
  <c r="M24" i="5"/>
  <c r="M16" i="5"/>
  <c r="M64" i="5"/>
  <c r="M23" i="5"/>
  <c r="M14" i="2"/>
  <c r="M12" i="2"/>
  <c r="M11" i="2"/>
  <c r="M17" i="2"/>
  <c r="M9" i="2"/>
  <c r="M8" i="2"/>
  <c r="M16" i="2"/>
  <c r="M10" i="2"/>
  <c r="M15" i="2"/>
  <c r="R37" i="6"/>
  <c r="R43" i="6"/>
  <c r="R42" i="6"/>
  <c r="R10" i="6"/>
  <c r="R16" i="6"/>
  <c r="R30" i="6"/>
  <c r="R29" i="6"/>
  <c r="R28" i="6"/>
  <c r="R32" i="6"/>
  <c r="R34" i="6"/>
  <c r="R33" i="6"/>
  <c r="R19" i="6"/>
  <c r="R18" i="6"/>
  <c r="R23" i="6"/>
  <c r="R25" i="6"/>
  <c r="R24" i="6"/>
  <c r="R17" i="6"/>
  <c r="R39" i="6"/>
  <c r="R20" i="6"/>
  <c r="R27" i="6"/>
  <c r="R11" i="6"/>
  <c r="R13" i="6"/>
  <c r="N140" i="2"/>
  <c r="N34" i="2"/>
  <c r="N121" i="2"/>
  <c r="N24" i="2"/>
  <c r="N113" i="2"/>
  <c r="N103" i="2"/>
  <c r="N80" i="2"/>
  <c r="N70" i="2"/>
  <c r="N61" i="2"/>
  <c r="N42" i="2"/>
  <c r="Q103" i="2"/>
  <c r="Q131" i="2"/>
  <c r="Q102" i="2"/>
  <c r="Q121" i="2"/>
  <c r="N139" i="2"/>
  <c r="N102" i="2"/>
  <c r="N60" i="2"/>
  <c r="N23" i="2"/>
  <c r="Q89" i="2"/>
  <c r="Q101" i="2"/>
  <c r="Q120" i="2"/>
  <c r="N130" i="2"/>
  <c r="N92" i="2"/>
  <c r="N51" i="2"/>
  <c r="N14" i="2"/>
  <c r="Q94" i="2"/>
  <c r="Q100" i="2"/>
  <c r="Q119" i="2"/>
  <c r="N129" i="2"/>
  <c r="N91" i="2"/>
  <c r="N50" i="2"/>
  <c r="N13" i="2"/>
  <c r="Q93" i="2"/>
  <c r="Q98" i="2"/>
  <c r="Q114" i="2"/>
  <c r="N122" i="2"/>
  <c r="N81" i="2"/>
  <c r="N43" i="2"/>
  <c r="Q92" i="2"/>
  <c r="Q95" i="2"/>
  <c r="Q113" i="2"/>
  <c r="Q91" i="2"/>
  <c r="Q111" i="2"/>
  <c r="Q112" i="2"/>
  <c r="N114" i="2"/>
  <c r="N71" i="2"/>
  <c r="N35" i="2"/>
  <c r="Q90" i="2"/>
  <c r="N138" i="2"/>
  <c r="N128" i="2"/>
  <c r="N120" i="2"/>
  <c r="N112" i="2"/>
  <c r="N101" i="2"/>
  <c r="N90" i="2"/>
  <c r="N79" i="2"/>
  <c r="N69" i="2"/>
  <c r="N58" i="2"/>
  <c r="N49" i="2"/>
  <c r="N41" i="2"/>
  <c r="N33" i="2"/>
  <c r="N22" i="2"/>
  <c r="N12" i="2"/>
  <c r="N137" i="2"/>
  <c r="N127" i="2"/>
  <c r="N119" i="2"/>
  <c r="N111" i="2"/>
  <c r="N100" i="2"/>
  <c r="N89" i="2"/>
  <c r="N78" i="2"/>
  <c r="N68" i="2"/>
  <c r="N57" i="2"/>
  <c r="N48" i="2"/>
  <c r="N40" i="2"/>
  <c r="N31" i="2"/>
  <c r="N21" i="2"/>
  <c r="N11" i="2"/>
  <c r="N136" i="2"/>
  <c r="N126" i="2"/>
  <c r="N118" i="2"/>
  <c r="N108" i="2"/>
  <c r="N98" i="2"/>
  <c r="N87" i="2"/>
  <c r="N77" i="2"/>
  <c r="N67" i="2"/>
  <c r="N55" i="2"/>
  <c r="N47" i="2"/>
  <c r="N39" i="2"/>
  <c r="N29" i="2"/>
  <c r="N20" i="2"/>
  <c r="N10" i="2"/>
  <c r="N135" i="2"/>
  <c r="N125" i="2"/>
  <c r="N117" i="2"/>
  <c r="N107" i="2"/>
  <c r="N95" i="2"/>
  <c r="N84" i="2"/>
  <c r="N76" i="2"/>
  <c r="N66" i="2"/>
  <c r="N54" i="2"/>
  <c r="N46" i="2"/>
  <c r="N38" i="2"/>
  <c r="N28" i="2"/>
  <c r="N17" i="2"/>
  <c r="N9" i="2"/>
  <c r="N142" i="2"/>
  <c r="N132" i="2"/>
  <c r="N124" i="2"/>
  <c r="N116" i="2"/>
  <c r="N106" i="2"/>
  <c r="N94" i="2"/>
  <c r="N83" i="2"/>
  <c r="N75" i="2"/>
  <c r="N63" i="2"/>
  <c r="N53" i="2"/>
  <c r="N45" i="2"/>
  <c r="N37" i="2"/>
  <c r="N16" i="2"/>
  <c r="N141" i="2"/>
  <c r="N131" i="2"/>
  <c r="N123" i="2"/>
  <c r="N115" i="2"/>
  <c r="N105" i="2"/>
  <c r="N93" i="2"/>
  <c r="N82" i="2"/>
  <c r="N72" i="2"/>
  <c r="N62" i="2"/>
  <c r="N52" i="2"/>
  <c r="N44" i="2"/>
  <c r="N36" i="2"/>
  <c r="N26" i="2"/>
  <c r="N15" i="2"/>
  <c r="P43" i="2"/>
  <c r="P103" i="2"/>
  <c r="P116" i="2"/>
  <c r="P22" i="2"/>
  <c r="P61" i="2"/>
  <c r="P131" i="2"/>
  <c r="P15" i="2"/>
  <c r="P70" i="2"/>
  <c r="P101" i="2"/>
  <c r="P138" i="2"/>
  <c r="P14" i="2"/>
  <c r="P26" i="2"/>
  <c r="P28" i="2"/>
  <c r="P48" i="2"/>
  <c r="P40" i="2"/>
  <c r="P69" i="2"/>
  <c r="P58" i="2"/>
  <c r="P81" i="2"/>
  <c r="P100" i="2"/>
  <c r="P89" i="2"/>
  <c r="P129" i="2"/>
  <c r="P121" i="2"/>
  <c r="P113" i="2"/>
  <c r="P137" i="2"/>
  <c r="P51" i="2"/>
  <c r="P84" i="2"/>
  <c r="P140" i="2"/>
  <c r="P50" i="2"/>
  <c r="P102" i="2"/>
  <c r="P115" i="2"/>
  <c r="P60" i="2"/>
  <c r="P82" i="2"/>
  <c r="P114" i="2"/>
  <c r="P13" i="2"/>
  <c r="P24" i="2"/>
  <c r="P55" i="2"/>
  <c r="P47" i="2"/>
  <c r="P39" i="2"/>
  <c r="P68" i="2"/>
  <c r="P57" i="2"/>
  <c r="P80" i="2"/>
  <c r="P98" i="2"/>
  <c r="P108" i="2"/>
  <c r="P128" i="2"/>
  <c r="P120" i="2"/>
  <c r="P112" i="2"/>
  <c r="P136" i="2"/>
  <c r="P33" i="2"/>
  <c r="P92" i="2"/>
  <c r="P16" i="2"/>
  <c r="P71" i="2"/>
  <c r="P123" i="2"/>
  <c r="P29" i="2"/>
  <c r="P90" i="2"/>
  <c r="P12" i="2"/>
  <c r="P23" i="2"/>
  <c r="P54" i="2"/>
  <c r="P46" i="2"/>
  <c r="P38" i="2"/>
  <c r="P67" i="2"/>
  <c r="P76" i="2"/>
  <c r="P79" i="2"/>
  <c r="P95" i="2"/>
  <c r="P107" i="2"/>
  <c r="P127" i="2"/>
  <c r="P119" i="2"/>
  <c r="P111" i="2"/>
  <c r="P135" i="2"/>
  <c r="P21" i="2"/>
  <c r="P72" i="2"/>
  <c r="P124" i="2"/>
  <c r="P42" i="2"/>
  <c r="P91" i="2"/>
  <c r="P49" i="2"/>
  <c r="P130" i="2"/>
  <c r="P11" i="2"/>
  <c r="P35" i="2"/>
  <c r="P53" i="2"/>
  <c r="P45" i="2"/>
  <c r="P37" i="2"/>
  <c r="P66" i="2"/>
  <c r="P75" i="2"/>
  <c r="P78" i="2"/>
  <c r="P94" i="2"/>
  <c r="P106" i="2"/>
  <c r="P126" i="2"/>
  <c r="P118" i="2"/>
  <c r="P142" i="2"/>
  <c r="P17" i="2"/>
  <c r="P62" i="2"/>
  <c r="P132" i="2"/>
  <c r="P31" i="2"/>
  <c r="P83" i="2"/>
  <c r="P139" i="2"/>
  <c r="P41" i="2"/>
  <c r="P122" i="2"/>
  <c r="P10" i="2"/>
  <c r="P20" i="2"/>
  <c r="P34" i="2"/>
  <c r="P52" i="2"/>
  <c r="P44" i="2"/>
  <c r="P36" i="2"/>
  <c r="P63" i="2"/>
  <c r="P77" i="2"/>
  <c r="P87" i="2"/>
  <c r="P93" i="2"/>
  <c r="P105" i="2"/>
  <c r="P125" i="2"/>
  <c r="P117" i="2"/>
  <c r="M62" i="2"/>
  <c r="M66" i="2"/>
  <c r="M72" i="2"/>
  <c r="M71" i="2"/>
  <c r="M70" i="2"/>
  <c r="M61" i="2"/>
  <c r="M69" i="2"/>
  <c r="M63" i="2"/>
  <c r="M68" i="2"/>
  <c r="M67" i="2"/>
  <c r="M136" i="2"/>
  <c r="O9" i="2"/>
  <c r="O107" i="2"/>
  <c r="O66" i="2"/>
  <c r="O46" i="2"/>
  <c r="O28" i="2"/>
  <c r="O16" i="2"/>
  <c r="O142" i="2"/>
  <c r="O132" i="2"/>
  <c r="O124" i="2"/>
  <c r="O116" i="2"/>
  <c r="O106" i="2"/>
  <c r="O94" i="2"/>
  <c r="O83" i="2"/>
  <c r="O75" i="2"/>
  <c r="O63" i="2"/>
  <c r="O53" i="2"/>
  <c r="O45" i="2"/>
  <c r="O37" i="2"/>
  <c r="O135" i="2"/>
  <c r="O95" i="2"/>
  <c r="O76" i="2"/>
  <c r="O54" i="2"/>
  <c r="O38" i="2"/>
  <c r="O15" i="2"/>
  <c r="O141" i="2"/>
  <c r="O131" i="2"/>
  <c r="O123" i="2"/>
  <c r="O115" i="2"/>
  <c r="O105" i="2"/>
  <c r="O93" i="2"/>
  <c r="O82" i="2"/>
  <c r="O72" i="2"/>
  <c r="O62" i="2"/>
  <c r="O52" i="2"/>
  <c r="O44" i="2"/>
  <c r="O36" i="2"/>
  <c r="O26" i="2"/>
  <c r="O125" i="2"/>
  <c r="O14" i="2"/>
  <c r="O130" i="2"/>
  <c r="O122" i="2"/>
  <c r="O114" i="2"/>
  <c r="O103" i="2"/>
  <c r="O92" i="2"/>
  <c r="O81" i="2"/>
  <c r="O71" i="2"/>
  <c r="O61" i="2"/>
  <c r="O51" i="2"/>
  <c r="O43" i="2"/>
  <c r="O35" i="2"/>
  <c r="O24" i="2"/>
  <c r="O17" i="2"/>
  <c r="O84" i="2"/>
  <c r="O13" i="2"/>
  <c r="O139" i="2"/>
  <c r="O129" i="2"/>
  <c r="O121" i="2"/>
  <c r="O113" i="2"/>
  <c r="O102" i="2"/>
  <c r="O91" i="2"/>
  <c r="O80" i="2"/>
  <c r="O70" i="2"/>
  <c r="O60" i="2"/>
  <c r="O50" i="2"/>
  <c r="O42" i="2"/>
  <c r="O34" i="2"/>
  <c r="O23" i="2"/>
  <c r="O117" i="2"/>
  <c r="O140" i="2"/>
  <c r="O12" i="2"/>
  <c r="O138" i="2"/>
  <c r="O128" i="2"/>
  <c r="O120" i="2"/>
  <c r="O112" i="2"/>
  <c r="O101" i="2"/>
  <c r="O90" i="2"/>
  <c r="O79" i="2"/>
  <c r="O69" i="2"/>
  <c r="O58" i="2"/>
  <c r="O49" i="2"/>
  <c r="O41" i="2"/>
  <c r="O33" i="2"/>
  <c r="O22" i="2"/>
  <c r="O11" i="2"/>
  <c r="O137" i="2"/>
  <c r="O127" i="2"/>
  <c r="O119" i="2"/>
  <c r="O111" i="2"/>
  <c r="O100" i="2"/>
  <c r="O89" i="2"/>
  <c r="O78" i="2"/>
  <c r="O68" i="2"/>
  <c r="O57" i="2"/>
  <c r="O48" i="2"/>
  <c r="O40" i="2"/>
  <c r="O31" i="2"/>
  <c r="O21" i="2"/>
  <c r="O8" i="2"/>
  <c r="O10" i="2"/>
  <c r="O136" i="2"/>
  <c r="O126" i="2"/>
  <c r="O118" i="2"/>
  <c r="O108" i="2"/>
  <c r="O98" i="2"/>
  <c r="O87" i="2"/>
  <c r="O77" i="2"/>
  <c r="O67" i="2"/>
  <c r="O55" i="2"/>
  <c r="O47" i="2"/>
  <c r="O39" i="2"/>
  <c r="O29" i="2"/>
  <c r="M60" i="2"/>
  <c r="M57" i="2"/>
  <c r="M58" i="2"/>
  <c r="M33" i="2"/>
  <c r="M55" i="2"/>
  <c r="M39" i="2"/>
  <c r="M54" i="2"/>
  <c r="M46" i="2"/>
  <c r="M38" i="2"/>
  <c r="M49" i="2"/>
  <c r="M48" i="2"/>
  <c r="M47" i="2"/>
  <c r="M53" i="2"/>
  <c r="M45" i="2"/>
  <c r="M37" i="2"/>
  <c r="M52" i="2"/>
  <c r="M44" i="2"/>
  <c r="M36" i="2"/>
  <c r="M43" i="2"/>
  <c r="M51" i="2"/>
  <c r="M35" i="2"/>
  <c r="M50" i="2"/>
  <c r="M42" i="2"/>
  <c r="M34" i="2"/>
  <c r="M41" i="2"/>
  <c r="M40" i="2"/>
  <c r="M121" i="2"/>
  <c r="M28" i="2"/>
  <c r="M128" i="2"/>
  <c r="M120" i="2"/>
  <c r="M112" i="2"/>
  <c r="M95" i="2"/>
  <c r="M87" i="2"/>
  <c r="M131" i="2"/>
  <c r="M130" i="2"/>
  <c r="M129" i="2"/>
  <c r="M105" i="2"/>
  <c r="M127" i="2"/>
  <c r="M119" i="2"/>
  <c r="M111" i="2"/>
  <c r="M103" i="2"/>
  <c r="M94" i="2"/>
  <c r="M78" i="2"/>
  <c r="M26" i="2"/>
  <c r="M113" i="2"/>
  <c r="M126" i="2"/>
  <c r="M118" i="2"/>
  <c r="M102" i="2"/>
  <c r="M93" i="2"/>
  <c r="M77" i="2"/>
  <c r="M24" i="2"/>
  <c r="M125" i="2"/>
  <c r="M117" i="2"/>
  <c r="M101" i="2"/>
  <c r="M92" i="2"/>
  <c r="M76" i="2"/>
  <c r="M23" i="2"/>
  <c r="M124" i="2"/>
  <c r="M116" i="2"/>
  <c r="M108" i="2"/>
  <c r="M100" i="2"/>
  <c r="M91" i="2"/>
  <c r="M22" i="2"/>
  <c r="M123" i="2"/>
  <c r="M115" i="2"/>
  <c r="M107" i="2"/>
  <c r="M98" i="2"/>
  <c r="M90" i="2"/>
  <c r="M31" i="2"/>
  <c r="M21" i="2"/>
  <c r="M132" i="2"/>
  <c r="M122" i="2"/>
  <c r="M114" i="2"/>
  <c r="M106" i="2"/>
  <c r="M89" i="2"/>
  <c r="M81" i="2"/>
  <c r="M29" i="2"/>
  <c r="O5" i="1"/>
  <c r="O72" i="1" s="1"/>
  <c r="N5" i="1"/>
  <c r="M5" i="1"/>
  <c r="M5" i="4"/>
  <c r="N5" i="4"/>
  <c r="N17" i="4" s="1"/>
  <c r="N5" i="3"/>
  <c r="N8" i="3" s="1"/>
  <c r="M59" i="4" l="1"/>
  <c r="M34" i="4"/>
  <c r="N143" i="1"/>
  <c r="N25" i="1"/>
  <c r="M9" i="4"/>
  <c r="M24" i="4"/>
  <c r="M26" i="4"/>
  <c r="M97" i="1"/>
  <c r="M139" i="1"/>
  <c r="M133" i="1"/>
  <c r="M124" i="1"/>
  <c r="M140" i="1"/>
  <c r="M134" i="1"/>
  <c r="M109" i="1"/>
  <c r="M141" i="1"/>
  <c r="M135" i="1"/>
  <c r="M110" i="1"/>
  <c r="M142" i="1"/>
  <c r="M129" i="1"/>
  <c r="M111" i="1"/>
  <c r="M119" i="1"/>
  <c r="M105" i="1"/>
  <c r="M115" i="1"/>
  <c r="M116" i="1"/>
  <c r="M138" i="1"/>
  <c r="M104" i="1"/>
  <c r="M112" i="1"/>
  <c r="M120" i="1"/>
  <c r="M113" i="1"/>
  <c r="M123" i="1"/>
  <c r="M117" i="1"/>
  <c r="M130" i="1"/>
  <c r="M121" i="1"/>
  <c r="M118" i="1"/>
  <c r="M131" i="1"/>
  <c r="M106" i="1"/>
  <c r="M114" i="1"/>
  <c r="M122" i="1"/>
  <c r="M132" i="1"/>
  <c r="M107" i="1"/>
  <c r="M108" i="1"/>
  <c r="M38" i="1"/>
  <c r="N56" i="1"/>
  <c r="N131" i="1"/>
  <c r="N108" i="1"/>
  <c r="N113" i="1"/>
  <c r="N123" i="1"/>
  <c r="N75" i="1"/>
  <c r="N62" i="1"/>
  <c r="N63" i="1"/>
  <c r="N132" i="1"/>
  <c r="N107" i="1"/>
  <c r="N114" i="1"/>
  <c r="N124" i="1"/>
  <c r="N66" i="1"/>
  <c r="N133" i="1"/>
  <c r="N105" i="1"/>
  <c r="N117" i="1"/>
  <c r="N104" i="1"/>
  <c r="N67" i="1"/>
  <c r="N58" i="1"/>
  <c r="N48" i="1"/>
  <c r="N134" i="1"/>
  <c r="N106" i="1"/>
  <c r="N118" i="1"/>
  <c r="N96" i="1"/>
  <c r="N68" i="1"/>
  <c r="N135" i="1"/>
  <c r="N109" i="1"/>
  <c r="N119" i="1"/>
  <c r="N97" i="1"/>
  <c r="N65" i="1"/>
  <c r="N43" i="1"/>
  <c r="N116" i="1"/>
  <c r="N61" i="1"/>
  <c r="N129" i="1"/>
  <c r="N110" i="1"/>
  <c r="N120" i="1"/>
  <c r="N98" i="1"/>
  <c r="N59" i="1"/>
  <c r="N40" i="1"/>
  <c r="N112" i="1"/>
  <c r="N95" i="1"/>
  <c r="N115" i="1"/>
  <c r="N111" i="1"/>
  <c r="N121" i="1"/>
  <c r="N99" i="1"/>
  <c r="N60" i="1"/>
  <c r="N130" i="1"/>
  <c r="N122" i="1"/>
  <c r="M96" i="1"/>
  <c r="M95" i="1"/>
  <c r="M92" i="1"/>
  <c r="M93" i="1"/>
  <c r="M91" i="1"/>
  <c r="O138" i="1"/>
  <c r="O139" i="1"/>
  <c r="O140" i="1"/>
  <c r="O141" i="1"/>
  <c r="O142" i="1"/>
  <c r="O132" i="1"/>
  <c r="O130" i="1"/>
  <c r="O135" i="1"/>
  <c r="O131" i="1"/>
  <c r="O133" i="1"/>
  <c r="O129" i="1"/>
  <c r="O134" i="1"/>
  <c r="O105" i="1"/>
  <c r="O113" i="1"/>
  <c r="O106" i="1"/>
  <c r="O114" i="1"/>
  <c r="O107" i="1"/>
  <c r="O115" i="1"/>
  <c r="O123" i="1"/>
  <c r="O108" i="1"/>
  <c r="O116" i="1"/>
  <c r="O109" i="1"/>
  <c r="O117" i="1"/>
  <c r="O104" i="1"/>
  <c r="O121" i="1"/>
  <c r="O110" i="1"/>
  <c r="O118" i="1"/>
  <c r="O120" i="1"/>
  <c r="O124" i="1"/>
  <c r="O111" i="1"/>
  <c r="O119" i="1"/>
  <c r="O112" i="1"/>
  <c r="O122" i="1"/>
  <c r="O99" i="1"/>
  <c r="O67" i="1"/>
  <c r="O58" i="1"/>
  <c r="O44" i="1"/>
  <c r="O33" i="1"/>
  <c r="O22" i="1"/>
  <c r="O98" i="1"/>
  <c r="O66" i="1"/>
  <c r="O56" i="1"/>
  <c r="O43" i="1"/>
  <c r="O31" i="1"/>
  <c r="O21" i="1"/>
  <c r="O23" i="1"/>
  <c r="O97" i="1"/>
  <c r="O65" i="1"/>
  <c r="O52" i="1"/>
  <c r="O42" i="1"/>
  <c r="O30" i="1"/>
  <c r="O19" i="1"/>
  <c r="O45" i="1"/>
  <c r="O96" i="1"/>
  <c r="O63" i="1"/>
  <c r="O51" i="1"/>
  <c r="O41" i="1"/>
  <c r="O29" i="1"/>
  <c r="O16" i="1"/>
  <c r="O35" i="1"/>
  <c r="O95" i="1"/>
  <c r="O62" i="1"/>
  <c r="O49" i="1"/>
  <c r="O40" i="1"/>
  <c r="O27" i="1"/>
  <c r="O15" i="1"/>
  <c r="O77" i="1"/>
  <c r="O61" i="1"/>
  <c r="O48" i="1"/>
  <c r="O39" i="1"/>
  <c r="O26" i="1"/>
  <c r="O14" i="1"/>
  <c r="O59" i="1"/>
  <c r="O11" i="1"/>
  <c r="O75" i="1"/>
  <c r="O60" i="1"/>
  <c r="O47" i="1"/>
  <c r="O38" i="1"/>
  <c r="O25" i="1"/>
  <c r="O13" i="1"/>
  <c r="O68" i="1"/>
  <c r="O12" i="1"/>
  <c r="O88" i="1"/>
  <c r="O89" i="1"/>
  <c r="O73" i="1"/>
  <c r="O74" i="1"/>
  <c r="O91" i="1"/>
  <c r="O82" i="1"/>
  <c r="O92" i="1"/>
  <c r="O79" i="1"/>
  <c r="O93" i="1"/>
  <c r="O78" i="1"/>
  <c r="O85" i="1"/>
  <c r="O84" i="1"/>
  <c r="O86" i="1"/>
  <c r="O54" i="1"/>
  <c r="O87" i="1"/>
  <c r="O76" i="1"/>
  <c r="N85" i="1"/>
  <c r="N78" i="1"/>
  <c r="N138" i="1"/>
  <c r="N86" i="1"/>
  <c r="N139" i="1"/>
  <c r="N87" i="1"/>
  <c r="N140" i="1"/>
  <c r="N88" i="1"/>
  <c r="N141" i="1"/>
  <c r="N89" i="1"/>
  <c r="N91" i="1"/>
  <c r="N142" i="1"/>
  <c r="N92" i="1"/>
  <c r="N84" i="1"/>
  <c r="N54" i="1"/>
  <c r="N79" i="1"/>
  <c r="N93" i="1"/>
  <c r="N82" i="1"/>
  <c r="N39" i="1"/>
  <c r="N42" i="1"/>
  <c r="N77" i="1"/>
  <c r="N49" i="1"/>
  <c r="N76" i="1"/>
  <c r="M65" i="4"/>
  <c r="M54" i="4"/>
  <c r="N73" i="1"/>
  <c r="N74" i="1"/>
  <c r="N72" i="1"/>
  <c r="N52" i="1"/>
  <c r="N51" i="1"/>
  <c r="N47" i="1"/>
  <c r="N41" i="1"/>
  <c r="N44" i="1"/>
  <c r="N45" i="1"/>
  <c r="N38" i="1"/>
  <c r="M27" i="1"/>
  <c r="M64" i="4"/>
  <c r="M45" i="4"/>
  <c r="M10" i="1"/>
  <c r="M11" i="1"/>
  <c r="M12" i="1"/>
  <c r="M13" i="1"/>
  <c r="M14" i="1"/>
  <c r="M15" i="1"/>
  <c r="M16" i="1"/>
  <c r="M8" i="1"/>
  <c r="M26" i="1"/>
  <c r="M25" i="1"/>
  <c r="M33" i="4"/>
  <c r="M23" i="1"/>
  <c r="N12" i="4"/>
  <c r="M22" i="1"/>
  <c r="M8" i="4"/>
  <c r="M21" i="1"/>
  <c r="N8" i="1"/>
  <c r="N22" i="1"/>
  <c r="N16" i="1"/>
  <c r="N23" i="1"/>
  <c r="N35" i="1"/>
  <c r="N10" i="1"/>
  <c r="N26" i="1"/>
  <c r="N11" i="1"/>
  <c r="N19" i="1"/>
  <c r="N21" i="1"/>
  <c r="N15" i="1"/>
  <c r="N27" i="1"/>
  <c r="N12" i="1"/>
  <c r="N13" i="1"/>
  <c r="N14" i="1"/>
  <c r="M58" i="1"/>
  <c r="M99" i="1"/>
  <c r="M98" i="1"/>
  <c r="M84" i="1"/>
  <c r="M89" i="1"/>
  <c r="M88" i="1"/>
  <c r="M87" i="1"/>
  <c r="M86" i="1"/>
  <c r="M85" i="1"/>
  <c r="M68" i="1"/>
  <c r="M67" i="1"/>
  <c r="M82" i="1"/>
  <c r="M74" i="1"/>
  <c r="M77" i="1"/>
  <c r="M78" i="1"/>
  <c r="M75" i="1"/>
  <c r="M76" i="1"/>
  <c r="M56" i="1"/>
  <c r="M73" i="1"/>
  <c r="M65" i="1"/>
  <c r="M66" i="1"/>
  <c r="M63" i="1"/>
  <c r="M62" i="1"/>
  <c r="M61" i="1"/>
  <c r="M60" i="1"/>
  <c r="M59" i="1"/>
  <c r="M54" i="1"/>
  <c r="M52" i="1"/>
  <c r="M51" i="1"/>
  <c r="M49" i="1"/>
  <c r="M48" i="1"/>
  <c r="M47" i="1"/>
  <c r="M45" i="1"/>
  <c r="M44" i="1"/>
  <c r="M43" i="1"/>
  <c r="M42" i="1"/>
  <c r="M41" i="1"/>
  <c r="M40" i="1"/>
  <c r="M39" i="1"/>
  <c r="M19" i="1"/>
  <c r="M35" i="1"/>
  <c r="M72" i="1"/>
  <c r="M79" i="1"/>
  <c r="M53" i="4"/>
  <c r="M43" i="4"/>
  <c r="M21" i="4"/>
  <c r="M13" i="4"/>
  <c r="M75" i="4"/>
  <c r="M63" i="4"/>
  <c r="M52" i="4"/>
  <c r="M42" i="4"/>
  <c r="M31" i="4"/>
  <c r="M20" i="4"/>
  <c r="M74" i="4"/>
  <c r="M62" i="4"/>
  <c r="M51" i="4"/>
  <c r="M40" i="4"/>
  <c r="M29" i="4"/>
  <c r="M18" i="4"/>
  <c r="M32" i="4"/>
  <c r="M73" i="4"/>
  <c r="M61" i="4"/>
  <c r="M50" i="4"/>
  <c r="M39" i="4"/>
  <c r="M28" i="4"/>
  <c r="M17" i="4"/>
  <c r="M69" i="4"/>
  <c r="M58" i="4"/>
  <c r="M49" i="4"/>
  <c r="M38" i="4"/>
  <c r="M27" i="4"/>
  <c r="M14" i="4"/>
  <c r="M68" i="4"/>
  <c r="M56" i="4"/>
  <c r="M48" i="4"/>
  <c r="M37" i="4"/>
  <c r="M12" i="4"/>
  <c r="M67" i="4"/>
  <c r="M55" i="4"/>
  <c r="M46" i="4"/>
  <c r="M35" i="4"/>
  <c r="M25" i="4"/>
  <c r="M10" i="4"/>
  <c r="M23" i="4"/>
  <c r="N33" i="4"/>
  <c r="N58" i="4"/>
  <c r="N14" i="4"/>
  <c r="N56" i="4"/>
  <c r="N31" i="4"/>
  <c r="N69" i="4"/>
  <c r="N48" i="4"/>
  <c r="N28" i="4"/>
  <c r="N25" i="4"/>
  <c r="N68" i="4"/>
  <c r="N45" i="4"/>
  <c r="N67" i="4"/>
  <c r="N42" i="4"/>
  <c r="N64" i="4"/>
  <c r="N38" i="4"/>
  <c r="N23" i="4"/>
  <c r="N20" i="4"/>
  <c r="N63" i="4"/>
  <c r="N37" i="4"/>
  <c r="N61" i="4"/>
  <c r="N35" i="4"/>
  <c r="M27" i="3" l="1"/>
  <c r="D99" i="9"/>
  <c r="D98" i="9"/>
  <c r="D97" i="9"/>
  <c r="C92" i="9"/>
  <c r="D92" i="9" s="1"/>
  <c r="C73" i="9"/>
  <c r="D73" i="9" s="1"/>
  <c r="C65" i="9"/>
  <c r="D65" i="9" s="1"/>
  <c r="C64" i="9"/>
  <c r="D64" i="9" s="1"/>
  <c r="C61" i="9"/>
  <c r="D61" i="9" s="1"/>
  <c r="C60" i="9"/>
  <c r="D60" i="9" s="1"/>
  <c r="D59" i="9"/>
  <c r="D58" i="9"/>
  <c r="D57" i="9"/>
  <c r="D49" i="9"/>
  <c r="D55" i="9"/>
  <c r="D54" i="9"/>
  <c r="D53" i="9"/>
  <c r="D51" i="9"/>
  <c r="D50" i="9"/>
  <c r="D48" i="9"/>
  <c r="D47" i="9"/>
  <c r="D46" i="9"/>
  <c r="D44" i="9"/>
  <c r="D43" i="9"/>
  <c r="D40" i="9"/>
  <c r="D41" i="9"/>
  <c r="C39" i="9"/>
  <c r="D39" i="9" s="1"/>
  <c r="D38" i="9"/>
  <c r="D37" i="9"/>
  <c r="D36" i="9"/>
  <c r="D35" i="9"/>
  <c r="D34" i="9"/>
  <c r="D33" i="9"/>
  <c r="D32" i="9"/>
  <c r="D31" i="9"/>
  <c r="D30" i="9"/>
  <c r="D29" i="9"/>
  <c r="C27" i="9"/>
  <c r="D27" i="9" s="1"/>
  <c r="C23" i="9"/>
  <c r="D23" i="9" s="1"/>
  <c r="C18" i="9"/>
  <c r="D18" i="9" s="1"/>
  <c r="C10" i="9"/>
  <c r="D10" i="9" s="1"/>
  <c r="J3" i="9"/>
  <c r="J2" i="9"/>
  <c r="C7" i="9"/>
  <c r="D7" i="9" s="1"/>
  <c r="D6" i="9"/>
  <c r="D5" i="9"/>
  <c r="D4" i="9"/>
  <c r="C95" i="9"/>
  <c r="D95" i="9" s="1"/>
  <c r="E94" i="9"/>
  <c r="C94" i="9"/>
  <c r="D94" i="9" s="1"/>
  <c r="E93" i="9"/>
  <c r="C93" i="9"/>
  <c r="D93" i="9" s="1"/>
  <c r="E92" i="9"/>
  <c r="A92" i="9"/>
  <c r="E91" i="9"/>
  <c r="C91" i="9"/>
  <c r="D91" i="9" s="1"/>
  <c r="A91" i="9"/>
  <c r="C90" i="9"/>
  <c r="D90" i="9" s="1"/>
  <c r="C89" i="9"/>
  <c r="D89" i="9" s="1"/>
  <c r="C88" i="9"/>
  <c r="D88" i="9" s="1"/>
  <c r="E87" i="9"/>
  <c r="C87" i="9"/>
  <c r="D87" i="9" s="1"/>
  <c r="A87" i="9"/>
  <c r="E86" i="9"/>
  <c r="C86" i="9"/>
  <c r="D86" i="9" s="1"/>
  <c r="A86" i="9"/>
  <c r="C85" i="9"/>
  <c r="D85" i="9" s="1"/>
  <c r="C84" i="9"/>
  <c r="D84" i="9" s="1"/>
  <c r="C83" i="9"/>
  <c r="D83" i="9" s="1"/>
  <c r="C82" i="9"/>
  <c r="D82" i="9" s="1"/>
  <c r="E81" i="9"/>
  <c r="C81" i="9"/>
  <c r="D81" i="9" s="1"/>
  <c r="A81" i="9"/>
  <c r="E80" i="9"/>
  <c r="C80" i="9"/>
  <c r="D80" i="9" s="1"/>
  <c r="A80" i="9"/>
  <c r="C79" i="9"/>
  <c r="D79" i="9" s="1"/>
  <c r="C78" i="9"/>
  <c r="D78" i="9" s="1"/>
  <c r="C77" i="9"/>
  <c r="D77" i="9" s="1"/>
  <c r="E76" i="9"/>
  <c r="C76" i="9"/>
  <c r="D76" i="9" s="1"/>
  <c r="A76" i="9"/>
  <c r="E75" i="9"/>
  <c r="C75" i="9"/>
  <c r="D75" i="9" s="1"/>
  <c r="A75" i="9"/>
  <c r="E74" i="9"/>
  <c r="C74" i="9"/>
  <c r="D74" i="9" s="1"/>
  <c r="B74" i="9"/>
  <c r="E73" i="9"/>
  <c r="B73" i="9"/>
  <c r="E72" i="9"/>
  <c r="C72" i="9"/>
  <c r="D72" i="9" s="1"/>
  <c r="B72" i="9"/>
  <c r="C71" i="9"/>
  <c r="D71" i="9" s="1"/>
  <c r="B71" i="9"/>
  <c r="C70" i="9"/>
  <c r="D70" i="9" s="1"/>
  <c r="B70" i="9"/>
  <c r="C69" i="9"/>
  <c r="D69" i="9" s="1"/>
  <c r="B69" i="9"/>
  <c r="C68" i="9"/>
  <c r="D68" i="9" s="1"/>
  <c r="C67" i="9"/>
  <c r="D67" i="9" s="1"/>
  <c r="B67" i="9"/>
  <c r="C66" i="9"/>
  <c r="D66" i="9" s="1"/>
  <c r="B64" i="9"/>
  <c r="C63" i="9"/>
  <c r="D63" i="9" s="1"/>
  <c r="B63" i="9"/>
  <c r="C62" i="9"/>
  <c r="D62" i="9" s="1"/>
  <c r="B61" i="9"/>
  <c r="E60" i="9"/>
  <c r="E39" i="9"/>
  <c r="E27" i="9"/>
  <c r="E26" i="9"/>
  <c r="C26" i="9"/>
  <c r="D26" i="9" s="1"/>
  <c r="E25" i="9"/>
  <c r="C25" i="9"/>
  <c r="D25" i="9" s="1"/>
  <c r="E24" i="9"/>
  <c r="C24" i="9"/>
  <c r="D24" i="9" s="1"/>
  <c r="E23" i="9"/>
  <c r="E22" i="9"/>
  <c r="C22" i="9"/>
  <c r="D22" i="9" s="1"/>
  <c r="A22" i="9"/>
  <c r="C21" i="9"/>
  <c r="A21" i="9"/>
  <c r="E20" i="9"/>
  <c r="C20" i="9"/>
  <c r="D20" i="9" s="1"/>
  <c r="E19" i="9"/>
  <c r="C19" i="9"/>
  <c r="D19" i="9" s="1"/>
  <c r="E17" i="9"/>
  <c r="C17" i="9"/>
  <c r="D17" i="9" s="1"/>
  <c r="C16" i="9"/>
  <c r="D16" i="9" s="1"/>
  <c r="A16" i="9"/>
  <c r="C15" i="9"/>
  <c r="E15" i="9" s="1"/>
  <c r="A15" i="9"/>
  <c r="C14" i="9"/>
  <c r="D14" i="9" s="1"/>
  <c r="B14" i="9"/>
  <c r="C13" i="9"/>
  <c r="D13" i="9" s="1"/>
  <c r="B13" i="9"/>
  <c r="C12" i="9"/>
  <c r="D12" i="9" s="1"/>
  <c r="B12" i="9"/>
  <c r="C11" i="9"/>
  <c r="D11" i="9" s="1"/>
  <c r="B11" i="9"/>
  <c r="B10" i="9"/>
  <c r="C9" i="9"/>
  <c r="D9" i="9" s="1"/>
  <c r="C8" i="9"/>
  <c r="D8" i="9" s="1"/>
  <c r="M11" i="3" l="1"/>
  <c r="M20" i="3"/>
  <c r="M10" i="3"/>
  <c r="M21" i="3"/>
  <c r="M13" i="3"/>
  <c r="M23" i="3"/>
  <c r="M14" i="3"/>
  <c r="M22" i="3"/>
  <c r="M15" i="3"/>
  <c r="M25" i="3"/>
  <c r="M17" i="3"/>
  <c r="M26" i="3"/>
  <c r="M16" i="3"/>
  <c r="M28" i="3"/>
  <c r="M19" i="3"/>
  <c r="D15" i="9"/>
  <c r="E16" i="9"/>
  <c r="E95" i="9"/>
  <c r="J87" i="2" l="1"/>
  <c r="J39" i="6"/>
  <c r="J135" i="1"/>
  <c r="J134" i="1"/>
  <c r="J133" i="1"/>
  <c r="J132" i="1"/>
  <c r="J131" i="1"/>
  <c r="J130" i="1"/>
  <c r="J129" i="1"/>
  <c r="J124" i="1"/>
  <c r="J104" i="1"/>
  <c r="J106" i="1"/>
  <c r="J107" i="1"/>
  <c r="J108" i="1"/>
  <c r="K110" i="1"/>
  <c r="J114" i="1"/>
  <c r="J111" i="1"/>
  <c r="J105" i="1"/>
  <c r="J115" i="1"/>
  <c r="J116" i="1"/>
  <c r="J117" i="1"/>
  <c r="J118" i="1"/>
  <c r="J119" i="1"/>
  <c r="J120" i="1"/>
  <c r="J121" i="1"/>
  <c r="J112" i="1"/>
  <c r="J122" i="1"/>
  <c r="J123" i="1"/>
  <c r="J110" i="1"/>
  <c r="J113" i="1"/>
  <c r="J109" i="1"/>
  <c r="J72" i="1"/>
  <c r="I3" i="3" l="1"/>
  <c r="I2" i="3"/>
  <c r="I3" i="4"/>
  <c r="I2" i="4"/>
  <c r="I3" i="1"/>
  <c r="I2" i="1"/>
  <c r="I3" i="2"/>
  <c r="I2" i="2"/>
  <c r="I3" i="5"/>
  <c r="I2" i="5"/>
  <c r="I3" i="6"/>
  <c r="I2" i="6"/>
  <c r="I3" i="7"/>
  <c r="I2" i="7"/>
  <c r="J28" i="3"/>
  <c r="J27" i="3"/>
  <c r="J25" i="3"/>
  <c r="J11" i="3"/>
  <c r="J10" i="3"/>
  <c r="J15" i="3"/>
  <c r="J9" i="3"/>
  <c r="J13" i="3"/>
  <c r="J8" i="3"/>
  <c r="J73" i="4"/>
  <c r="J63" i="4"/>
  <c r="J62" i="4"/>
  <c r="J45" i="4"/>
  <c r="J42" i="4"/>
  <c r="J21" i="4"/>
  <c r="J20" i="4"/>
  <c r="J17" i="4"/>
  <c r="J10" i="4"/>
  <c r="J85" i="1"/>
  <c r="J82" i="1"/>
  <c r="K76" i="1"/>
  <c r="J76" i="1"/>
  <c r="J74" i="1"/>
  <c r="J73" i="1"/>
  <c r="J27" i="1"/>
  <c r="J22" i="1"/>
  <c r="J21" i="1"/>
  <c r="J19" i="1"/>
  <c r="J10" i="1"/>
  <c r="J148" i="2"/>
  <c r="J140" i="2"/>
  <c r="J138" i="2"/>
  <c r="J137" i="2"/>
  <c r="J111" i="2"/>
  <c r="J81" i="2"/>
  <c r="J58" i="2"/>
  <c r="J35" i="2"/>
  <c r="J31" i="2"/>
  <c r="J29" i="2"/>
  <c r="J28" i="2"/>
  <c r="J24" i="2"/>
  <c r="J23" i="2"/>
  <c r="J22" i="2"/>
  <c r="J21" i="2"/>
  <c r="J20" i="2"/>
  <c r="J9" i="2"/>
  <c r="J64" i="5"/>
  <c r="J63" i="5"/>
  <c r="J62" i="5"/>
  <c r="J60" i="5"/>
  <c r="J14" i="5"/>
  <c r="J13" i="5"/>
  <c r="J12" i="5"/>
  <c r="J43" i="6"/>
  <c r="J42" i="6"/>
  <c r="J86" i="7"/>
  <c r="J85" i="7"/>
  <c r="J84" i="7"/>
  <c r="J83" i="7"/>
  <c r="J82" i="7"/>
  <c r="J61" i="7"/>
  <c r="J60" i="7"/>
  <c r="J59" i="7"/>
  <c r="J80" i="7"/>
  <c r="J79" i="7"/>
  <c r="J78" i="7"/>
  <c r="J76" i="7"/>
  <c r="J74" i="7"/>
  <c r="J73" i="7"/>
  <c r="J72" i="7"/>
  <c r="J71" i="7"/>
  <c r="J69" i="7"/>
  <c r="J68" i="7"/>
  <c r="J67" i="7"/>
  <c r="J65" i="7"/>
  <c r="J64" i="7"/>
  <c r="J56" i="7"/>
  <c r="J55" i="7"/>
  <c r="J49" i="7"/>
  <c r="J27" i="7"/>
  <c r="J43" i="7"/>
  <c r="J39" i="7"/>
  <c r="J25" i="7"/>
  <c r="J30" i="7"/>
  <c r="J37" i="7"/>
  <c r="J36" i="7"/>
  <c r="J35" i="7"/>
  <c r="J34" i="7"/>
  <c r="J33" i="7"/>
  <c r="J32" i="7"/>
  <c r="J31" i="7"/>
  <c r="J29" i="7"/>
  <c r="J24" i="7"/>
  <c r="J21" i="7"/>
  <c r="J19" i="7"/>
  <c r="J17" i="7"/>
  <c r="J16" i="7"/>
  <c r="K12" i="7"/>
  <c r="J11" i="7"/>
  <c r="J9" i="7"/>
  <c r="J142" i="2"/>
  <c r="J141" i="2"/>
</calcChain>
</file>

<file path=xl/sharedStrings.xml><?xml version="1.0" encoding="utf-8"?>
<sst xmlns="http://schemas.openxmlformats.org/spreadsheetml/2006/main" count="4712" uniqueCount="2165">
  <si>
    <t>Ergebnis</t>
  </si>
  <si>
    <t>Erträge</t>
  </si>
  <si>
    <t>Relative Kennzahlen</t>
  </si>
  <si>
    <t>Formel-Nr.</t>
  </si>
  <si>
    <t>Bezeichnung</t>
  </si>
  <si>
    <t>alternative Bezeichnungen</t>
  </si>
  <si>
    <t>Kommentar</t>
  </si>
  <si>
    <t>Berechnung</t>
  </si>
  <si>
    <t>alternative Berechnung</t>
  </si>
  <si>
    <t>Flächen</t>
  </si>
  <si>
    <t>Ertrag</t>
  </si>
  <si>
    <t>Aufwand</t>
  </si>
  <si>
    <t>Vermögen</t>
  </si>
  <si>
    <t>Kapital</t>
  </si>
  <si>
    <t>Formelkennung</t>
  </si>
  <si>
    <t>Index</t>
  </si>
  <si>
    <t>Einheit</t>
  </si>
  <si>
    <t>Unternehmensertrag</t>
  </si>
  <si>
    <t>UE</t>
  </si>
  <si>
    <t>i350-i349-i351</t>
  </si>
  <si>
    <t>€</t>
  </si>
  <si>
    <t>Unternehmensertrag in T€</t>
  </si>
  <si>
    <t>UE in T€</t>
  </si>
  <si>
    <t>Unternehmensertrag (steuerlich)</t>
  </si>
  <si>
    <t>UE(steuerlich)</t>
  </si>
  <si>
    <t>i350-i349</t>
  </si>
  <si>
    <t>sonstiger Unternehmensertrag</t>
  </si>
  <si>
    <t>Sonst.UE</t>
  </si>
  <si>
    <t>Ertrag Finanzverm.+neutr. Ertr.</t>
  </si>
  <si>
    <t>i346+i347+i348+i358</t>
  </si>
  <si>
    <t>Miet- und Pachteinnahmen</t>
  </si>
  <si>
    <t>neutrale Erträge</t>
  </si>
  <si>
    <t>Betriebsertrag</t>
  </si>
  <si>
    <t>BErtrag</t>
  </si>
  <si>
    <t>Betriebsertrag in T€</t>
  </si>
  <si>
    <t>BErtrag in T€</t>
  </si>
  <si>
    <t>Sonstiger u. neutraler Ertrag</t>
  </si>
  <si>
    <t>i346+i348+i358</t>
  </si>
  <si>
    <t>sonstiger Betriebsertrag</t>
  </si>
  <si>
    <t>Sonst. BE</t>
  </si>
  <si>
    <t>BErtrag_Sonst</t>
  </si>
  <si>
    <t>Umsatz Betrieb</t>
  </si>
  <si>
    <t>Umsatz</t>
  </si>
  <si>
    <t>Unbarer Betriebsertrag</t>
  </si>
  <si>
    <t>Unbarer BE</t>
  </si>
  <si>
    <t>i342+i344</t>
  </si>
  <si>
    <t>Bestandsmehrung</t>
  </si>
  <si>
    <t>i344+i380-i445</t>
  </si>
  <si>
    <t>Saldo Sonderposten</t>
  </si>
  <si>
    <t>i351-i457</t>
  </si>
  <si>
    <t>betriebliche Erträge</t>
  </si>
  <si>
    <t>betriebliche Erträge_N</t>
  </si>
  <si>
    <t>sonst. betr. Erträge_N</t>
  </si>
  <si>
    <t>i355+i356+i357+i341+i343+i344+i345+i380+i348+i351+i358+i393</t>
  </si>
  <si>
    <t>Zuschüsse</t>
  </si>
  <si>
    <t xml:space="preserve">i341+i355+i356+i357+i358 </t>
  </si>
  <si>
    <t>Sonstige Prämien und Zuschüsse</t>
  </si>
  <si>
    <t>Umsatzsteuer (zeitraumzugehörig)</t>
  </si>
  <si>
    <t>Minderung der Vorräte</t>
  </si>
  <si>
    <t>BEinkommen</t>
  </si>
  <si>
    <t>Umsatzerlöse</t>
  </si>
  <si>
    <t>Umsatzerlöse_N</t>
  </si>
  <si>
    <t>i340+i342+i346</t>
  </si>
  <si>
    <t>Ertrag Zierpflanzen</t>
  </si>
  <si>
    <t>E-Zierpflanzen</t>
  </si>
  <si>
    <t>i301+i302+i303+i304+i305</t>
  </si>
  <si>
    <t>Ertrag Zierpflanzen unter Glas</t>
  </si>
  <si>
    <t>E_Zier unter Glas</t>
  </si>
  <si>
    <t>Ertrag Zier Unterglas</t>
  </si>
  <si>
    <t>i301+i302+i304</t>
  </si>
  <si>
    <t>Ertrag Zierpflanzen Freiland</t>
  </si>
  <si>
    <t>Ertrag Zier Freiland</t>
  </si>
  <si>
    <t>i303+i305</t>
  </si>
  <si>
    <t>E-Zierpfl Zusatz Topf</t>
  </si>
  <si>
    <t>E-Zierpfl. Zusatz</t>
  </si>
  <si>
    <t>Summe Zusatz Zier</t>
  </si>
  <si>
    <t>E-Zierpfl. Zusatz SchnittFreil.</t>
  </si>
  <si>
    <t>Schnittblumen Freiland ZA</t>
  </si>
  <si>
    <t>E-Zierpfl. Zusatz SchnittUGlas</t>
  </si>
  <si>
    <t>Topflanzen</t>
  </si>
  <si>
    <t>Schnittblumen unter Glas</t>
  </si>
  <si>
    <t>Schnittblumenanbau im Freiland</t>
  </si>
  <si>
    <t>Jungpflanzen (Zierpflanzen)</t>
  </si>
  <si>
    <t>Stauden (Topf- und Ballenware)</t>
  </si>
  <si>
    <t>Rosen im Freiland</t>
  </si>
  <si>
    <t>Rosen unter Glas</t>
  </si>
  <si>
    <t>Ertrag Eriken in % ZB</t>
  </si>
  <si>
    <t>Ertrag sonst.AZERCA in % ZB</t>
  </si>
  <si>
    <t>Ertrag Beet- und Balkonpflanzen</t>
  </si>
  <si>
    <t>Beet-u.Balkonpflanzen</t>
  </si>
  <si>
    <t>Ertrag Blühende Topfpflanzen</t>
  </si>
  <si>
    <t>Blühende Topfpflanzen</t>
  </si>
  <si>
    <t>Ertrag Azaleen in % ZB</t>
  </si>
  <si>
    <t>Ertrag Azerca in % ZB</t>
  </si>
  <si>
    <t>Ertrag Callunen in % ZB</t>
  </si>
  <si>
    <t>Ertrag Eriken+Callunen in % ZB</t>
  </si>
  <si>
    <t>Ertrag sonst. AZERCA in % ZB</t>
  </si>
  <si>
    <t>Grünpflanzen</t>
  </si>
  <si>
    <t>ZB ausser Azerka</t>
  </si>
  <si>
    <t>Ertrag Gemüse</t>
  </si>
  <si>
    <t>E-Gemüse</t>
  </si>
  <si>
    <t>i311+i312+i313+i314</t>
  </si>
  <si>
    <t>Anbau im Freiland</t>
  </si>
  <si>
    <t>Anbau unter Glas</t>
  </si>
  <si>
    <t>Handernte in % der Gemüseproduktion</t>
  </si>
  <si>
    <t xml:space="preserve">Maschinenernte in % der Gemüseproduktion </t>
  </si>
  <si>
    <t xml:space="preserve">Tomate, Gurken, Kräuter in % der Gemüseproduktion </t>
  </si>
  <si>
    <t xml:space="preserve">Tomate, Gurken in % der Gemüseproduktion </t>
  </si>
  <si>
    <t>Ertrag Gemüse ZusatzFreiland</t>
  </si>
  <si>
    <t>E-Gemüse Zusatz Freil.</t>
  </si>
  <si>
    <t>i2001+i2002+i2003+i2004+i2005+i2006+i2011+i2012+i2013+i2014</t>
  </si>
  <si>
    <t>Ertrag Gemüse Zusatz Unterglas</t>
  </si>
  <si>
    <t>E-Gemüse Zusatz Untergl.</t>
  </si>
  <si>
    <t>Gemüse Unterglas ZA</t>
  </si>
  <si>
    <t>Summe Zusatzangaben Gemüse</t>
  </si>
  <si>
    <t xml:space="preserve">Summe Zusatz Gem </t>
  </si>
  <si>
    <t>Ertrag Baumschule</t>
  </si>
  <si>
    <t>E-Baum Ertrag</t>
  </si>
  <si>
    <t>i315</t>
  </si>
  <si>
    <t>Ertrag Gartenbaumschule</t>
  </si>
  <si>
    <t>Gartenbaumschule</t>
  </si>
  <si>
    <t>Ertrag Obstbau</t>
  </si>
  <si>
    <t>E-Obst</t>
  </si>
  <si>
    <t>i316</t>
  </si>
  <si>
    <t>Ertrag Landwirtschaft</t>
  </si>
  <si>
    <t>i317+i319+i353</t>
  </si>
  <si>
    <t>Ertrag Handel</t>
  </si>
  <si>
    <t>E-Handelsware</t>
  </si>
  <si>
    <t>E-Handel</t>
  </si>
  <si>
    <t>i321+i323+i324+i325+i326</t>
  </si>
  <si>
    <t>Baumschule</t>
  </si>
  <si>
    <t>Baumschulhandel</t>
  </si>
  <si>
    <t>Hartware</t>
  </si>
  <si>
    <t>Ertrag Dienstleistung</t>
  </si>
  <si>
    <t>E-Dienstleistung</t>
  </si>
  <si>
    <t>i331+i332+i333</t>
  </si>
  <si>
    <t>Garten- und Landschaftsbau</t>
  </si>
  <si>
    <t>Friedhofsgärtnerei</t>
  </si>
  <si>
    <t>Sonstige Dienstleistungen</t>
  </si>
  <si>
    <t>aggregierte Ertrag-Kennzahlen</t>
  </si>
  <si>
    <t>Verkaufserlöse</t>
  </si>
  <si>
    <t>Ertrag insgesamt</t>
  </si>
  <si>
    <t>Eigenproduktion</t>
  </si>
  <si>
    <t>Ertrag Eigenproduktion</t>
  </si>
  <si>
    <t>E-Produkion</t>
  </si>
  <si>
    <t>Einnahmen Unterglas</t>
  </si>
  <si>
    <t>Ertrag Eigenproduktion Unterglas</t>
  </si>
  <si>
    <t>i301+i302+i304+i312+i313+i314</t>
  </si>
  <si>
    <t>Ertrag Gartenbau</t>
  </si>
  <si>
    <t>E-Gartenbau</t>
  </si>
  <si>
    <t>Ertrag Handel und Dienstleistung</t>
  </si>
  <si>
    <t>E-HuD</t>
  </si>
  <si>
    <t>i321+i323+i324+i325+i326+i331+i332+i333</t>
  </si>
  <si>
    <t>Ertrag Direktabsatz</t>
  </si>
  <si>
    <t>i361+i374+i362+i375+i381+i382+i383+i384+i385+i386</t>
  </si>
  <si>
    <t>Ertrag Eigenproduktion im Freiland</t>
  </si>
  <si>
    <t>Ertrag Eigenproduktion Freiland</t>
  </si>
  <si>
    <t>i303+i305+i311+i315+i316</t>
  </si>
  <si>
    <t xml:space="preserve">Ertrag Eigenproduktion und Handel </t>
  </si>
  <si>
    <t>Ertrag Eigenproduktion und Handel</t>
  </si>
  <si>
    <t>Ertrag Produktion/Handel</t>
  </si>
  <si>
    <t>Absatz Diensleistung</t>
  </si>
  <si>
    <t>i371+i372+i373</t>
  </si>
  <si>
    <t xml:space="preserve">Absatz Direkt </t>
  </si>
  <si>
    <t>Absatz indirekt</t>
  </si>
  <si>
    <t>i363+i364+i365+i366+i367+i368+i369+i387+i390</t>
  </si>
  <si>
    <t xml:space="preserve">Absatz Produktion und Handel </t>
  </si>
  <si>
    <t>i438+i439+i440+i441</t>
  </si>
  <si>
    <t xml:space="preserve">Absatz Firmen </t>
  </si>
  <si>
    <t xml:space="preserve">Absatz Friedhof </t>
  </si>
  <si>
    <t xml:space="preserve">Absatz Genossenschaft/Versteigerung </t>
  </si>
  <si>
    <t>Absatz Hof</t>
  </si>
  <si>
    <t>i362+i381+i382+i383+i384+i385</t>
  </si>
  <si>
    <t xml:space="preserve">Absatz Laden </t>
  </si>
  <si>
    <t>Absatz Hof+Laden</t>
  </si>
  <si>
    <t>i361+i362</t>
  </si>
  <si>
    <t>Absatz öffentliche Hand</t>
  </si>
  <si>
    <t xml:space="preserve">Absatz Privatkunden </t>
  </si>
  <si>
    <t xml:space="preserve">Absatz Großhandel </t>
  </si>
  <si>
    <t>Sonstige Absatzwege</t>
  </si>
  <si>
    <t>i367+i368+i369+i372+i373</t>
  </si>
  <si>
    <t>%</t>
  </si>
  <si>
    <t>Absatz Endverbraucher</t>
  </si>
  <si>
    <t>Direktabsatz</t>
  </si>
  <si>
    <t>Zusatzangaben 3500</t>
  </si>
  <si>
    <t>Arbeitskräfte</t>
  </si>
  <si>
    <t>AK insg.</t>
  </si>
  <si>
    <t>Betriebsfläche in ha</t>
  </si>
  <si>
    <t>Arbeitskräfte ins.</t>
  </si>
  <si>
    <t>AK</t>
  </si>
  <si>
    <t>Entlohnte AK</t>
  </si>
  <si>
    <t xml:space="preserve">Entlohnte AK </t>
  </si>
  <si>
    <t>Ständige AK</t>
  </si>
  <si>
    <t>i601+i602+i603+i640</t>
  </si>
  <si>
    <t>Familien-AK</t>
  </si>
  <si>
    <t>Fam.-AK (nicht entl.)</t>
  </si>
  <si>
    <t>i601+i609</t>
  </si>
  <si>
    <t>Fest-AK entlohnt</t>
  </si>
  <si>
    <t>i602+i603+i640</t>
  </si>
  <si>
    <t>Arbeitskräfte Dienstleistung</t>
  </si>
  <si>
    <t>AK-Dienstleistung</t>
  </si>
  <si>
    <t>Arbeitskräfte Dienstleistung entlohnt</t>
  </si>
  <si>
    <t>AK-Dienstleistung entlohnt</t>
  </si>
  <si>
    <t>Arbeitskräfte Direktabsatz</t>
  </si>
  <si>
    <t>AK-Direktabsatz</t>
  </si>
  <si>
    <t>Arbeitskräfte Eigenproduktion</t>
  </si>
  <si>
    <t>AK-Eigenproduktion</t>
  </si>
  <si>
    <t>Fremd-AK</t>
  </si>
  <si>
    <t>Fremd-AK (entlohnte)</t>
  </si>
  <si>
    <t>Ständige Fremd-AK</t>
  </si>
  <si>
    <t>i604-i601-i609</t>
  </si>
  <si>
    <t>nicht entlohnte Fremd-AK</t>
  </si>
  <si>
    <t>Saison-AK</t>
  </si>
  <si>
    <t>Saison-AK in Stunden</t>
  </si>
  <si>
    <t>i605+i607</t>
  </si>
  <si>
    <t>h</t>
  </si>
  <si>
    <t>sonstige Fam-AK</t>
  </si>
  <si>
    <t>Summe AK Produktion</t>
  </si>
  <si>
    <t>Saison AK Dienstl</t>
  </si>
  <si>
    <t>Saison-AK Produktion</t>
  </si>
  <si>
    <t>Saison-AK ohne Lohn Produktion</t>
  </si>
  <si>
    <t>Kalkulierte Stunden Voll-AK</t>
  </si>
  <si>
    <t>Konstante 1900</t>
  </si>
  <si>
    <t>Betriebsfläche</t>
  </si>
  <si>
    <t>m²</t>
  </si>
  <si>
    <t>ha</t>
  </si>
  <si>
    <t>Eigentumsfläche</t>
  </si>
  <si>
    <t>Grundfläche Gartengewächse (GG)</t>
  </si>
  <si>
    <t>GG</t>
  </si>
  <si>
    <t>Grundfläche Gartengewächse (GG) in ha</t>
  </si>
  <si>
    <t>GG in ha</t>
  </si>
  <si>
    <t>Pachtfläche</t>
  </si>
  <si>
    <t>Summe Pachtflächen</t>
  </si>
  <si>
    <t>Fläche Pacht in ha</t>
  </si>
  <si>
    <t>i522/!10000</t>
  </si>
  <si>
    <t>Nettopachtfläche</t>
  </si>
  <si>
    <t>i522-i521</t>
  </si>
  <si>
    <t>gepachtete Fläche</t>
  </si>
  <si>
    <t>Gewächshäuser</t>
  </si>
  <si>
    <t>Glasfläche</t>
  </si>
  <si>
    <t>i501+i502</t>
  </si>
  <si>
    <t>Heizbare Glasfläche</t>
  </si>
  <si>
    <t>Glasfläche ohne Zierpflanzen Glasfläche</t>
  </si>
  <si>
    <t>Glasfl. o. Zierpfl. Glasfl.</t>
  </si>
  <si>
    <t>(i501+i502)-(i541+i542)</t>
  </si>
  <si>
    <t>Fläche GH beheizt in ha</t>
  </si>
  <si>
    <t>i501/!10000</t>
  </si>
  <si>
    <t>Fläche GH unbeheizt in ha</t>
  </si>
  <si>
    <t>i502/!10000</t>
  </si>
  <si>
    <t>Freilandfläche (ohne Landwirtschaft)</t>
  </si>
  <si>
    <t>Fläche FreilandGG</t>
  </si>
  <si>
    <t>i503+i504+i505+i506</t>
  </si>
  <si>
    <t>Freilandfläche (mit Landwirschaft)</t>
  </si>
  <si>
    <t>Fläche Freiland gewachsen</t>
  </si>
  <si>
    <t>i503+i504+i505+i506+i507</t>
  </si>
  <si>
    <t>Fläche Baumschule</t>
  </si>
  <si>
    <t xml:space="preserve">Fläche Baumschule </t>
  </si>
  <si>
    <t>Fläche Baumschule in ha (ohne Glas)</t>
  </si>
  <si>
    <t>Fläche Baumschule ha ohne Glas</t>
  </si>
  <si>
    <t>i505/!10000</t>
  </si>
  <si>
    <t>Fläche Beerenobst in ha</t>
  </si>
  <si>
    <t>(i4015+i4016)/!10000</t>
  </si>
  <si>
    <t>Fläche Freiland-Produktion insgesamt</t>
  </si>
  <si>
    <t>Fläche Gemüsebau</t>
  </si>
  <si>
    <t>Fläche Zierpflanzenbau</t>
  </si>
  <si>
    <t>i541+i542+i503</t>
  </si>
  <si>
    <t>Fläche Obstbau in ha</t>
  </si>
  <si>
    <t xml:space="preserve">Fläche Obstbau in ha </t>
  </si>
  <si>
    <t>i506/!10000</t>
  </si>
  <si>
    <t>Fläche Obstbau (kein Vollertrag) in ha</t>
  </si>
  <si>
    <t>i4021/!10000</t>
  </si>
  <si>
    <t>Fläche Kirschen in ha</t>
  </si>
  <si>
    <t>i4013/!10000</t>
  </si>
  <si>
    <t>Fläche Äpfel in ha</t>
  </si>
  <si>
    <t>i4011/!10000</t>
  </si>
  <si>
    <t>Fläche Kernobst in ha</t>
  </si>
  <si>
    <t>i4012/!10000</t>
  </si>
  <si>
    <t>Fläche Steinobst in ha</t>
  </si>
  <si>
    <t>i4014/!10000</t>
  </si>
  <si>
    <t>Containerfläche</t>
  </si>
  <si>
    <t>i583+i584</t>
  </si>
  <si>
    <t>Ertragsfläche Apfel</t>
  </si>
  <si>
    <t>(i4011-(i4021*!0,5))/!10000</t>
  </si>
  <si>
    <t>Fläche Gemüse Freiland in ha</t>
  </si>
  <si>
    <t>Fläche Gemüse Freiland ha</t>
  </si>
  <si>
    <t>i504/!10000</t>
  </si>
  <si>
    <t>Fläche Zierpflanzen im Freiland in ha</t>
  </si>
  <si>
    <t>Fläche Zier Freiland ha</t>
  </si>
  <si>
    <t>i503/!10000</t>
  </si>
  <si>
    <t>Fläche Zierpflanzen unter Glas in ha</t>
  </si>
  <si>
    <t>Fläche Zier unter Glas ha</t>
  </si>
  <si>
    <t>(i541+i542)/!10000</t>
  </si>
  <si>
    <t>Fläche Zierpflanzen Unterglas</t>
  </si>
  <si>
    <t>i541+i542</t>
  </si>
  <si>
    <t>Landwirtschaftliche Fläche</t>
  </si>
  <si>
    <t>Fläche LW in m²</t>
  </si>
  <si>
    <t>i507+i581+i585</t>
  </si>
  <si>
    <t>Landwirtschaftliche Fläche in ha</t>
  </si>
  <si>
    <t>Fläche LW in ha</t>
  </si>
  <si>
    <t>LW-Fläche</t>
  </si>
  <si>
    <t>Ackerfläche in ha</t>
  </si>
  <si>
    <t>(i507+i581)/!10000</t>
  </si>
  <si>
    <t>Verkaufsfläche</t>
  </si>
  <si>
    <t>i508+i509</t>
  </si>
  <si>
    <t>Verkaufsräume</t>
  </si>
  <si>
    <t>Fläche Verkaufsräume</t>
  </si>
  <si>
    <t>Freilandverkaufsfläche</t>
  </si>
  <si>
    <t>Fläche Freiland-Verkauf</t>
  </si>
  <si>
    <t>Fläche Eigenproduktion</t>
  </si>
  <si>
    <t>Flächen Eigenproduktion</t>
  </si>
  <si>
    <t>Fläche Eigenproduktion in ha</t>
  </si>
  <si>
    <t>EQM</t>
  </si>
  <si>
    <t>Einheitsverkaufsfläche</t>
  </si>
  <si>
    <t>(i508 + !1/!10 * i509)</t>
  </si>
  <si>
    <t>Tages m² pro Glas</t>
  </si>
  <si>
    <t>TQM</t>
  </si>
  <si>
    <t>(i501+i502)*!365</t>
  </si>
  <si>
    <t>Unbeheizte Glasfläche</t>
  </si>
  <si>
    <t>Fläche Obstbau</t>
  </si>
  <si>
    <t>Kennzahlen</t>
  </si>
  <si>
    <t>Aufwendungen</t>
  </si>
  <si>
    <t>Unternehmensaufwand</t>
  </si>
  <si>
    <t>UA</t>
  </si>
  <si>
    <t>i460-i456-i131-i457-i458</t>
  </si>
  <si>
    <t>Unternehmensaufwand in T€</t>
  </si>
  <si>
    <t>UA in T€</t>
  </si>
  <si>
    <t>UA(steuerlich)</t>
  </si>
  <si>
    <t>i460-i456</t>
  </si>
  <si>
    <t>Sonstiger Unternehmensaufwand</t>
  </si>
  <si>
    <t>Sonst. UA</t>
  </si>
  <si>
    <t>i451+i452+i453+i454+i455</t>
  </si>
  <si>
    <t>Aufwand für Fremdkapital/Mieten, Pachten</t>
  </si>
  <si>
    <t>Aufwand Fremdkapital, Mieten und Pachten</t>
  </si>
  <si>
    <t>i451+i452+i453+i454</t>
  </si>
  <si>
    <t>Mieten und Pachten</t>
  </si>
  <si>
    <t>Mieten/Pachten</t>
  </si>
  <si>
    <t>i453+i454</t>
  </si>
  <si>
    <t>Zinsaufwand</t>
  </si>
  <si>
    <t>i451+i452</t>
  </si>
  <si>
    <t>Nettozinsaufwand</t>
  </si>
  <si>
    <t>BB_B_Nettozinsaufwand</t>
  </si>
  <si>
    <t>i451-i347</t>
  </si>
  <si>
    <t>Zinsen</t>
  </si>
  <si>
    <t>Sonstige Kapitalkosten</t>
  </si>
  <si>
    <t>Mieten</t>
  </si>
  <si>
    <t>Sonstiger und neutraler Aufwand</t>
  </si>
  <si>
    <t>Gewinn (steuerlich)</t>
  </si>
  <si>
    <t>Steuern vom Ertrag</t>
  </si>
  <si>
    <t>Summe Aufw.+Gewinn</t>
  </si>
  <si>
    <t>Betriebsaufwand</t>
  </si>
  <si>
    <t>BA</t>
  </si>
  <si>
    <t>Betriebsaufwand in T€</t>
  </si>
  <si>
    <t>BA in T€</t>
  </si>
  <si>
    <t>betriebliche Aufwendungen</t>
  </si>
  <si>
    <t>betrieb. Aufwendungen_N</t>
  </si>
  <si>
    <t>Betriebsaufwand + Lohnansatz</t>
  </si>
  <si>
    <t>BA+Lohnansatz</t>
  </si>
  <si>
    <t>Allgemeiner Betriebsaufwand</t>
  </si>
  <si>
    <t>Allgemeiner BA</t>
  </si>
  <si>
    <t>allgemeiner Aufwand</t>
  </si>
  <si>
    <t>sonstige betriebliche Aufwendungen</t>
  </si>
  <si>
    <t>sonst. betr. Aufwendungen_N</t>
  </si>
  <si>
    <t>Materialaufwand</t>
  </si>
  <si>
    <t>Materialaufwand_N</t>
  </si>
  <si>
    <t>Materialaufwand inkl. Fremdleistungen</t>
  </si>
  <si>
    <t>Sachaufwand</t>
  </si>
  <si>
    <t>Sonstiger Sachaufwand</t>
  </si>
  <si>
    <t>Sonst. Sachaufwand</t>
  </si>
  <si>
    <t>Spezialaufwand</t>
  </si>
  <si>
    <t>SpezialA insg.</t>
  </si>
  <si>
    <t>Spezialaufwand Eigenproduktion</t>
  </si>
  <si>
    <t>SpezialA Eigenproduktion</t>
  </si>
  <si>
    <t>i401+i402+i403+i404+i405+i406+i407+i408+i409+i410+i411+i426+i412+i425+i485+i413+i414</t>
  </si>
  <si>
    <t>Sonstiger Spezialaufwand Eigenproduktion</t>
  </si>
  <si>
    <t>sonst. SpezAufw Eigenprod</t>
  </si>
  <si>
    <t>i413+i414+i426</t>
  </si>
  <si>
    <t>gärtnerische Vorleistungen</t>
  </si>
  <si>
    <t>Vorleistungen</t>
  </si>
  <si>
    <t>Töpfe, Substrate, Verpackung</t>
  </si>
  <si>
    <t xml:space="preserve">Spez.Aufw. KG.Substr.Verp. </t>
  </si>
  <si>
    <t>Kulturgefäße und Substrate + Verpackung (indirekter Absatz)</t>
  </si>
  <si>
    <t>i405+i406+i407+i412</t>
  </si>
  <si>
    <t>Kulturgefäße und Substrate</t>
  </si>
  <si>
    <t>Kulturgefäße u. Substrate</t>
  </si>
  <si>
    <t>i405+i406+i407</t>
  </si>
  <si>
    <t>Dünger+Pflanzenschutz</t>
  </si>
  <si>
    <t>i403+i404</t>
  </si>
  <si>
    <t>Saat- und Pflanzgut + Rohware</t>
  </si>
  <si>
    <t>Saat-Pflanzgut u.Rohware</t>
  </si>
  <si>
    <t>i401+i402</t>
  </si>
  <si>
    <t>Verpackung und Vermarktung</t>
  </si>
  <si>
    <t>i412+i425+i485</t>
  </si>
  <si>
    <t>Saat- und Pflanzgut</t>
  </si>
  <si>
    <t>SaatundPflanzgut</t>
  </si>
  <si>
    <t>Rohware</t>
  </si>
  <si>
    <t>Düngemittel</t>
  </si>
  <si>
    <t>Pflanzenschutzmittel</t>
  </si>
  <si>
    <t xml:space="preserve">Kulturgefäße </t>
  </si>
  <si>
    <t>Substrate</t>
  </si>
  <si>
    <t>Strom</t>
  </si>
  <si>
    <t>Wasser</t>
  </si>
  <si>
    <t>Strom und Wasser</t>
  </si>
  <si>
    <t>Strom u. Wasser</t>
  </si>
  <si>
    <t>i408+i409+i410</t>
  </si>
  <si>
    <t>Heizmaterial (für die Produktion)</t>
  </si>
  <si>
    <t>Heizmaterial</t>
  </si>
  <si>
    <t>Folien und Vliese</t>
  </si>
  <si>
    <t>Verpackung (indirekter Absatz)</t>
  </si>
  <si>
    <t>Aufwand Leergut</t>
  </si>
  <si>
    <t>Sonstiger Spezialaufwand Gartenbau</t>
  </si>
  <si>
    <t>Spezialaufwand Landwirtschaft</t>
  </si>
  <si>
    <t>sonstige Vorleistungen</t>
  </si>
  <si>
    <t>Spezialaufwand Handel und Dienstleistung</t>
  </si>
  <si>
    <t>SpezialA Handel/Dienstl</t>
  </si>
  <si>
    <t>i415+i416+i417+i418+i419+i420+i480</t>
  </si>
  <si>
    <t>Spezialaufwand Produktion und Handel</t>
  </si>
  <si>
    <t>SpezialA Produktion/Handel</t>
  </si>
  <si>
    <t>Spezialaufwand Handel</t>
  </si>
  <si>
    <t>SpezialA Handel</t>
  </si>
  <si>
    <t>Handelsware</t>
  </si>
  <si>
    <t>i415+i416+i417</t>
  </si>
  <si>
    <t>Gärtnerische Handelsware</t>
  </si>
  <si>
    <t>Floristikbedarf, Verpackung</t>
  </si>
  <si>
    <t>Hartware (Keramik, Dünger, Substrate etc.)</t>
  </si>
  <si>
    <t>Spezialaufwand Dienstleistung</t>
  </si>
  <si>
    <t>SpezialA Dienstleistung</t>
  </si>
  <si>
    <t>i418+i419+i420+i480</t>
  </si>
  <si>
    <t>Dienstleistungen Dritter</t>
  </si>
  <si>
    <t>i444+i420</t>
  </si>
  <si>
    <t>Material für Dienstleistungen</t>
  </si>
  <si>
    <t>Material für Dienstl.</t>
  </si>
  <si>
    <t>i418+i419</t>
  </si>
  <si>
    <t>Pflanzmaterial</t>
  </si>
  <si>
    <t>Sonstiger Materialaufwand</t>
  </si>
  <si>
    <t>Leistung durch Fremdfirmen</t>
  </si>
  <si>
    <t>Fremdleistung</t>
  </si>
  <si>
    <t>Entsorgungskosten / Kippgebühren</t>
  </si>
  <si>
    <t>Lohnaufwand</t>
  </si>
  <si>
    <t>i421+i422+i424+i427+i423+i483+i484</t>
  </si>
  <si>
    <t>Lohnaufwand 2</t>
  </si>
  <si>
    <t>BB_U_Lohnaufwand</t>
  </si>
  <si>
    <t>Fremdlohn</t>
  </si>
  <si>
    <t>Fremdarbeiten</t>
  </si>
  <si>
    <t>i483+i484</t>
  </si>
  <si>
    <t>Lohnaufwand (ohne Fremdlohn)</t>
  </si>
  <si>
    <t>421+422+424+427+423</t>
  </si>
  <si>
    <t>Personalaufwand</t>
  </si>
  <si>
    <t>Personalaufwand_N</t>
  </si>
  <si>
    <t>i421+i422+i424+i427+i423+i428+i483+i484</t>
  </si>
  <si>
    <t>Lohnaufwand ohne Geschäftsführer</t>
  </si>
  <si>
    <t>Lohnaufwand ohne GF</t>
  </si>
  <si>
    <t>i421+i422+i427+i423+i428</t>
  </si>
  <si>
    <t>Arbeitserledigung</t>
  </si>
  <si>
    <t>Saisonlöhne</t>
  </si>
  <si>
    <t>Geschäftsführergehalt</t>
  </si>
  <si>
    <t>Sozialversicherung</t>
  </si>
  <si>
    <t>Berufsgenossenschaft</t>
  </si>
  <si>
    <t>Unterhaltungsaufwand (ohne Fuhrpark)</t>
  </si>
  <si>
    <t>Unterhaltungsaufwand o Kfz</t>
  </si>
  <si>
    <t>i431+i432+i433+i434</t>
  </si>
  <si>
    <t>Unterhaltungsaufwand</t>
  </si>
  <si>
    <t>i431+i432+i433+i434+i435</t>
  </si>
  <si>
    <t>Unterhaltungsaufwand Gebäude</t>
  </si>
  <si>
    <t>i431+i432</t>
  </si>
  <si>
    <t>Wirtschaftsgebäude</t>
  </si>
  <si>
    <t>Betriebsvorrichtungen, Maschinen, GwG</t>
  </si>
  <si>
    <t>Sonstiger Unterhaltungsaufwand</t>
  </si>
  <si>
    <t>Aufwand Fuhrpark</t>
  </si>
  <si>
    <t>Unterhaltung Fuhrpark</t>
  </si>
  <si>
    <t>Fuhrpark</t>
  </si>
  <si>
    <t>i435+i436+i437+i481+i449</t>
  </si>
  <si>
    <t>Leasing für KFZ + Maschinen und Geräte</t>
  </si>
  <si>
    <t>Leasing (KFZ+sonst)</t>
  </si>
  <si>
    <t>i481+i482</t>
  </si>
  <si>
    <t>KfZ-Steuern und Versicherungen</t>
  </si>
  <si>
    <t>i437+i449</t>
  </si>
  <si>
    <t>Leasing Fuhrpark</t>
  </si>
  <si>
    <t>Leasing Maschinen und Geräte</t>
  </si>
  <si>
    <t>Vermarktungsaufwand</t>
  </si>
  <si>
    <t>Absatz u. Werbekosten</t>
  </si>
  <si>
    <t>Standmiete</t>
  </si>
  <si>
    <t>Werbung/Reklame</t>
  </si>
  <si>
    <t>Lagerungsgebühren</t>
  </si>
  <si>
    <t>Sonstiger allg. Aufwand (ohne AfA)</t>
  </si>
  <si>
    <t>sonst. Allgemeiner Aufwand</t>
  </si>
  <si>
    <t>i443+i444+i446+i445+i447+i448+i471+i472+i473+i474+i475+i476+i482</t>
  </si>
  <si>
    <t>Sonstiger allg. Aufwand (inkl. AfA)</t>
  </si>
  <si>
    <t>sonst. allg. Aufwand (inkl. AfA)</t>
  </si>
  <si>
    <t>Lohnarbeit+Maschinenmiete</t>
  </si>
  <si>
    <t>Betriebssteuern/Lasten/Versicher.</t>
  </si>
  <si>
    <t>i437+i446+i471+i472+i473+i474+i475</t>
  </si>
  <si>
    <t>Abschreibung (ohne Sonder-AfA)</t>
  </si>
  <si>
    <t>AFA (ohne S-AFA)</t>
  </si>
  <si>
    <t>i442-i131</t>
  </si>
  <si>
    <t>Leasing+Miete+Abschreibung (ohne S-AfA)</t>
  </si>
  <si>
    <t>Leasing_Miete_AfA</t>
  </si>
  <si>
    <t>i481+i482+i442-i131+i453</t>
  </si>
  <si>
    <t>Steuern</t>
  </si>
  <si>
    <t>i437+i446</t>
  </si>
  <si>
    <t>i125+i126+i127</t>
  </si>
  <si>
    <t>Abschreibung</t>
  </si>
  <si>
    <t>AFA</t>
  </si>
  <si>
    <t>Sonder-AfA</t>
  </si>
  <si>
    <t>SonderAFA</t>
  </si>
  <si>
    <t>Miete/Leasing Maschinen und Geräte (ohne Leasing Fuhrpark)</t>
  </si>
  <si>
    <t>Lohnarbeiten</t>
  </si>
  <si>
    <t>Transportkosten</t>
  </si>
  <si>
    <t>Sonstiger bzw. nicht trennbarer allgemeiner Aufwand</t>
  </si>
  <si>
    <t>Vorsteuer</t>
  </si>
  <si>
    <t>Verbandsbeiträge</t>
  </si>
  <si>
    <t>Kontrollgebühren</t>
  </si>
  <si>
    <t>Beratung</t>
  </si>
  <si>
    <t>Sonstige Abgaben</t>
  </si>
  <si>
    <t>Betriebsversicherung</t>
  </si>
  <si>
    <t>Aufwand für Betriebsversicherung</t>
  </si>
  <si>
    <t>AfA Fuhrpark</t>
  </si>
  <si>
    <t>AfA Dauerkulturen</t>
  </si>
  <si>
    <t>AfA Gewächshäuser</t>
  </si>
  <si>
    <t>AFA Gewächshausanlagen</t>
  </si>
  <si>
    <t>Lohnansatz für Familien-AK</t>
  </si>
  <si>
    <t>Kalk. Lohnansatz</t>
  </si>
  <si>
    <t>Lohnansatz</t>
  </si>
  <si>
    <t>i50-i428</t>
  </si>
  <si>
    <t>Pachtansatz</t>
  </si>
  <si>
    <t>Zinsansatz</t>
  </si>
  <si>
    <t>Zinsansatz für Kapital</t>
  </si>
  <si>
    <t>Pachtzinssatz</t>
  </si>
  <si>
    <t>Lohnquote</t>
  </si>
  <si>
    <t>Unternehmerlohn</t>
  </si>
  <si>
    <t>Unternehmerlohn (bzw Lohn GF)</t>
  </si>
  <si>
    <t>Betriebsaufwand mit Lohnansatz</t>
  </si>
  <si>
    <t>BA + Lohnasatz</t>
  </si>
  <si>
    <t>Betriebsstundensatz</t>
  </si>
  <si>
    <t>Kalkulatorische AK-Stunden</t>
  </si>
  <si>
    <t>Kalk. AKh</t>
  </si>
  <si>
    <t>Lohnansatz für Geschäftsführer (GF &gt; 1)</t>
  </si>
  <si>
    <t>kalk.Lohn.GF&gt;1</t>
  </si>
  <si>
    <t>Lohansatz für Betriebsleitung</t>
  </si>
  <si>
    <t>LohnansatzLeitung</t>
  </si>
  <si>
    <t>p[LohansatzLeitung]</t>
  </si>
  <si>
    <t>Lohnansatz Familien-AK</t>
  </si>
  <si>
    <t>LohnansatzFAKMann</t>
  </si>
  <si>
    <t>p[LohnansatzFAKMann]</t>
  </si>
  <si>
    <t>Lohnansatz Zuschlag UE</t>
  </si>
  <si>
    <t>LohnansatzZuschlagUE</t>
  </si>
  <si>
    <t>p[LohnansatzZuschlagUE]</t>
  </si>
  <si>
    <t>Unternehmensaufwand + Lohnansatz</t>
  </si>
  <si>
    <t>UA + Lohnansatz</t>
  </si>
  <si>
    <t>T€</t>
  </si>
  <si>
    <t>kalkulatorischer Aufwand 4700</t>
  </si>
  <si>
    <t>Kennzahlen zur Fläche 2800</t>
  </si>
  <si>
    <t>Konstante 4900</t>
  </si>
  <si>
    <t>Summe Aktiva (laut Bilanz)</t>
  </si>
  <si>
    <t>Unterbilanz</t>
  </si>
  <si>
    <t>Vermögen (Bilanz)</t>
  </si>
  <si>
    <t>Vermögen lt. Bilanz</t>
  </si>
  <si>
    <t>i180-i177</t>
  </si>
  <si>
    <t>Vermögen (betriebsw.)</t>
  </si>
  <si>
    <t>Vermögen in T€</t>
  </si>
  <si>
    <t>Betriebsnotwendiges Vermögen</t>
  </si>
  <si>
    <t>Vermögen (betriebl.)</t>
  </si>
  <si>
    <t>Anlagevermögen (Bilanz)</t>
  </si>
  <si>
    <t>Anlagevermögen lt. Bilanz</t>
  </si>
  <si>
    <t>i161+i162+i163+i164+i165+i166+i167+i168+i169</t>
  </si>
  <si>
    <t>Anlagevermögen</t>
  </si>
  <si>
    <t>i161+i162+i163+i164+i165+i166+i167+i168+i169+i131</t>
  </si>
  <si>
    <t>Anlagevermögen ohne Boden</t>
  </si>
  <si>
    <t>i162+i163+i164+i165+i166+i167+i168+i169</t>
  </si>
  <si>
    <t>Anlagevermögen Vorjahr laut Bilanz</t>
  </si>
  <si>
    <t>Anlagevermögen Vorjahr lt. Bilanz</t>
  </si>
  <si>
    <t>(i161+i162+i163+i164+i165+i166+i167+i168+i169)+i442+i120-i110</t>
  </si>
  <si>
    <t>bauliche Anlagen</t>
  </si>
  <si>
    <t>i162+i163</t>
  </si>
  <si>
    <t>Maschinen+Fuhrpark</t>
  </si>
  <si>
    <t>i165+i166+i167</t>
  </si>
  <si>
    <t>Bodenvermögen</t>
  </si>
  <si>
    <t>Gewächshausanlagen</t>
  </si>
  <si>
    <t>Gewächshäuser lt. Bilanz</t>
  </si>
  <si>
    <t>Anlagen und Maschinen</t>
  </si>
  <si>
    <t>Betriebsvorrichtungen lt. Bilanz</t>
  </si>
  <si>
    <t>Heizanlagen</t>
  </si>
  <si>
    <t>Heizanlagen lt. Bilanz</t>
  </si>
  <si>
    <t>Maschinen und Fuhrpark</t>
  </si>
  <si>
    <t>Fuhrpark lt. Bilanz</t>
  </si>
  <si>
    <t>Finanzvermögen</t>
  </si>
  <si>
    <t>Finanzanlagen, Beteiligungen lt. Bilanz</t>
  </si>
  <si>
    <t>Umlaufvermögen lt. Bilanz</t>
  </si>
  <si>
    <t>Umlaufvermögen lt. Schlussbilanz</t>
  </si>
  <si>
    <t>i171+i172+i173+i174+i175+i176</t>
  </si>
  <si>
    <t>Vorräte</t>
  </si>
  <si>
    <t>i171+i172+i173</t>
  </si>
  <si>
    <t>Zugekaufte Handelsware lt. Bilanz</t>
  </si>
  <si>
    <t>Zugekaufte Hilfs- und Betriebsstoffe lt. Bilanz</t>
  </si>
  <si>
    <t>Forderungen und Guthaben</t>
  </si>
  <si>
    <t>i174+i175</t>
  </si>
  <si>
    <t>Forderungen</t>
  </si>
  <si>
    <t>Forderungen aus L&amp;L lt. Bilanz</t>
  </si>
  <si>
    <t>Kasse, Banke</t>
  </si>
  <si>
    <t>Kasse, Bank lt. Bilanz</t>
  </si>
  <si>
    <t>Sonstiges Umlaufvermögen, ARAP</t>
  </si>
  <si>
    <t>Sonstiges Umlaufvermögen, ARAP lt. Bilanz</t>
  </si>
  <si>
    <t>i110-i120-i442+i131</t>
  </si>
  <si>
    <t>Veränderung Bodenvermögen</t>
  </si>
  <si>
    <t>i161-i151</t>
  </si>
  <si>
    <t>Veränderung Anlagevermögen ohne Boden</t>
  </si>
  <si>
    <t>F5300-F5310</t>
  </si>
  <si>
    <t>Veränderung Gewächshausanlagen</t>
  </si>
  <si>
    <t>i163-i153</t>
  </si>
  <si>
    <t>Veränderung Anlagen und Maschinen</t>
  </si>
  <si>
    <t>i165-i155</t>
  </si>
  <si>
    <t>Veränderung Maschinen und Fuhrpark</t>
  </si>
  <si>
    <t>i167-i157</t>
  </si>
  <si>
    <t>Veränderung Finanzvermögen</t>
  </si>
  <si>
    <t>i168-i158</t>
  </si>
  <si>
    <t>Bruttoinvestitionen</t>
  </si>
  <si>
    <t>i170-i160+i442</t>
  </si>
  <si>
    <t>Nettoinvestitionen</t>
  </si>
  <si>
    <t>Nettoinvestition</t>
  </si>
  <si>
    <t>i170-i160+i131</t>
  </si>
  <si>
    <t>Veränderung Umlaufvermögen</t>
  </si>
  <si>
    <t>(i171+…+i176)-(i141+…+i146)</t>
  </si>
  <si>
    <t>Veränderung Vorräte</t>
  </si>
  <si>
    <t>(i171+i172+i173)-(i141+i142+i143)</t>
  </si>
  <si>
    <t>Veränderung Forderungen</t>
  </si>
  <si>
    <t>i174-i144</t>
  </si>
  <si>
    <t>Umlaufvermögen laut Anfangsbilanz</t>
  </si>
  <si>
    <t>Umlaufvermögen lt. Anfangsbilanz</t>
  </si>
  <si>
    <t>i141+i142+i143+i144+i145+i146</t>
  </si>
  <si>
    <t>Vermögen laut Anfangsbilanz</t>
  </si>
  <si>
    <t>Vermögen lt. Anfangsbilanz</t>
  </si>
  <si>
    <t>i210-i147</t>
  </si>
  <si>
    <t>kalk. Bodenwert der Eigentumsfläche</t>
  </si>
  <si>
    <t>Kalk. Bodenwert</t>
  </si>
  <si>
    <t xml:space="preserve">Bodenwert je QM </t>
  </si>
  <si>
    <t>kalkBodenWert_QM</t>
  </si>
  <si>
    <t>Umlaufvermögen (kalk.)</t>
  </si>
  <si>
    <t>Kalk. Umlaufvermögen</t>
  </si>
  <si>
    <t>kalk. Vorräte</t>
  </si>
  <si>
    <t>kalk. Kulturdauer in Monaten</t>
  </si>
  <si>
    <t>kalk. Forderungen</t>
  </si>
  <si>
    <t xml:space="preserve">kalk. Zahlungsziel </t>
  </si>
  <si>
    <t>kalk. Bodenwert der Betriebsfläche</t>
  </si>
  <si>
    <t>Kalk. Bodenwert (betriebl.)</t>
  </si>
  <si>
    <t>Zinsansatz für kalkulatorisches Vermögen des Betriebes</t>
  </si>
  <si>
    <t>Kalk-Zinsen</t>
  </si>
  <si>
    <t>kalkZins_EK</t>
  </si>
  <si>
    <t>Zinsantsaz für kalkulatorisches Vermögen</t>
  </si>
  <si>
    <t>Zins kalk Vermögen_N</t>
  </si>
  <si>
    <t>Zinsansatz Vermögen (kalkulatorisch)</t>
  </si>
  <si>
    <t>Zinsansatz für kalk.Vermögen</t>
  </si>
  <si>
    <t>Konstante Vermögen 5900</t>
  </si>
  <si>
    <t>Summe Passiva</t>
  </si>
  <si>
    <t>Eigenkapital (lt. Bilanz)</t>
  </si>
  <si>
    <t>Eigenkapital lt. Bilanz</t>
  </si>
  <si>
    <t>(i211+i216/!2)-i177</t>
  </si>
  <si>
    <t>Eigenkapitalveränderung laut Bilanz</t>
  </si>
  <si>
    <t>Eigenkapitalveränderung lt. Bilanz</t>
  </si>
  <si>
    <t xml:space="preserve">i226+i225+i224+i223 </t>
  </si>
  <si>
    <t>Einlagen</t>
  </si>
  <si>
    <t>Entnahmen</t>
  </si>
  <si>
    <t>Fremdkapital</t>
  </si>
  <si>
    <t>FK</t>
  </si>
  <si>
    <t>i212+i213+i214+i215+i216/!2</t>
  </si>
  <si>
    <t>Kurzfristiges Fremdkapital</t>
  </si>
  <si>
    <t>Kurzfristiges FK</t>
  </si>
  <si>
    <t>FK kurzfristig</t>
  </si>
  <si>
    <t>i213+i214</t>
  </si>
  <si>
    <t>Langfristiges Fremdkapital</t>
  </si>
  <si>
    <t>FK lang</t>
  </si>
  <si>
    <t>kurzfristig</t>
  </si>
  <si>
    <t>Kontokorrent lt. Bilanz</t>
  </si>
  <si>
    <t>sonst. Fremdkapital (kurzfristig)</t>
  </si>
  <si>
    <t>Sonstige Verbindlichkeiten lt. Bilanz</t>
  </si>
  <si>
    <t>sonst. Passiva</t>
  </si>
  <si>
    <t>Verrechnungskonten lt. Bilanz</t>
  </si>
  <si>
    <t>i215+i216</t>
  </si>
  <si>
    <t>Rückstellungen</t>
  </si>
  <si>
    <t>Rückstellungen,Wertberichtigungen, PRAP lt. Bilanz</t>
  </si>
  <si>
    <t>steuerliche Sonderposten</t>
  </si>
  <si>
    <t>Steuerliche Sonderposten lt. Bilanz</t>
  </si>
  <si>
    <t>Veränderung Fremdkapital</t>
  </si>
  <si>
    <t>Fremdkapitalveränderung</t>
  </si>
  <si>
    <t>(i212+i213+i214+i215)-(i202+i203+i204+i205)</t>
  </si>
  <si>
    <t>Veränderung lang- und mittelfristig</t>
  </si>
  <si>
    <t>i212-i202</t>
  </si>
  <si>
    <t>Veränderung kurzfristig</t>
  </si>
  <si>
    <t>i213-i203</t>
  </si>
  <si>
    <t>Veränderung sonst. Fremdkapital</t>
  </si>
  <si>
    <t>i214-i204</t>
  </si>
  <si>
    <t>Veränderung sonst. Passiva</t>
  </si>
  <si>
    <t>Veränderung Rückstellungen</t>
  </si>
  <si>
    <t>i215-i205</t>
  </si>
  <si>
    <t>Veränderung steuerliche Sonderposten</t>
  </si>
  <si>
    <t>i216-i206</t>
  </si>
  <si>
    <t>Tilgung</t>
  </si>
  <si>
    <t>(i202+i203+i204)-(i212+i213+i214)</t>
  </si>
  <si>
    <t>Zinsansatz für FK</t>
  </si>
  <si>
    <t>(i215+i216)-(i205+i206)</t>
  </si>
  <si>
    <t>225/456</t>
  </si>
  <si>
    <t>Gewinn vor Steuern</t>
  </si>
  <si>
    <t>Ergebnis vor Steuern_N</t>
  </si>
  <si>
    <t>Gewinn (betriebswirtschaftlich)</t>
  </si>
  <si>
    <t>Gewinn</t>
  </si>
  <si>
    <t xml:space="preserve">steuerliche Sonderposten </t>
  </si>
  <si>
    <t xml:space="preserve">steuerl.Sonderposten </t>
  </si>
  <si>
    <t>-i351+i457</t>
  </si>
  <si>
    <t>Finanzerträge</t>
  </si>
  <si>
    <t>Finanzerträge_N</t>
  </si>
  <si>
    <t>Finanzaufwendungen_N</t>
  </si>
  <si>
    <t>Finanzergebnis</t>
  </si>
  <si>
    <t>i347-i451-i452</t>
  </si>
  <si>
    <t>sonst. Kapitalkosten</t>
  </si>
  <si>
    <t>Ordentliches Ergebnis</t>
  </si>
  <si>
    <t>ordentliches Ergebnis</t>
  </si>
  <si>
    <t>Zinsertrag aus Eigenkapital</t>
  </si>
  <si>
    <t>Zinsertrag EK</t>
  </si>
  <si>
    <t>Eigenkapitalveränderung</t>
  </si>
  <si>
    <t>i226+i225+i224+i223+i131-i351+i457</t>
  </si>
  <si>
    <t>Vermögensveränderung</t>
  </si>
  <si>
    <t>Cash Flow_N</t>
  </si>
  <si>
    <t>Cash-flowII_N</t>
  </si>
  <si>
    <t>Cashflow (vereinfacht)</t>
  </si>
  <si>
    <t>Cash Flow</t>
  </si>
  <si>
    <t>Cash Flow (Gew. + AfA)</t>
  </si>
  <si>
    <t>Cash Flow_N - Erweitert</t>
  </si>
  <si>
    <t>Kalk. Zinsansatz Eigenkapital</t>
  </si>
  <si>
    <t>Zins EigenKapital</t>
  </si>
  <si>
    <t>Kalkulatorisches Eigenkapital</t>
  </si>
  <si>
    <t>netto Entnahmen</t>
  </si>
  <si>
    <t>Einlagen-Entnahmen</t>
  </si>
  <si>
    <t>(i224*!-1)-i223</t>
  </si>
  <si>
    <t>223+224</t>
  </si>
  <si>
    <t>Unternehmergewinn</t>
  </si>
  <si>
    <t>Netto Entnahmen mit GF-Gehalt</t>
  </si>
  <si>
    <t>netto Entnahmen+GF-Gehalt</t>
  </si>
  <si>
    <t>bereinigter Betriebsertrag</t>
  </si>
  <si>
    <t>Bereinigter Betriebsertrag</t>
  </si>
  <si>
    <t>Rohertrag</t>
  </si>
  <si>
    <t>Betriebseinkommen</t>
  </si>
  <si>
    <t>Roheinkommen</t>
  </si>
  <si>
    <t>Roheinkommen einzelbetrieblich</t>
  </si>
  <si>
    <t>Reinertrag</t>
  </si>
  <si>
    <t>Reinertrag einzelbetrieblich</t>
  </si>
  <si>
    <t>Reinertragsdifferenz</t>
  </si>
  <si>
    <t>Reinertragsfifferenz einzelbetrieblich</t>
  </si>
  <si>
    <t>Gesamt-Arbeitsertrag Betrieb</t>
  </si>
  <si>
    <t>Ges ArbeitsErtrag Betrieb</t>
  </si>
  <si>
    <t>Gesamt-Arbeitsertrag Unternehmen</t>
  </si>
  <si>
    <t>Ges ArbeitsErtrag Unternehmen</t>
  </si>
  <si>
    <t>Familien Arbeit Ertrag Betrieb</t>
  </si>
  <si>
    <t>Fam ArbeitErtrag Betrieb</t>
  </si>
  <si>
    <t>Familien Arbeit Ertrag Unternehmen</t>
  </si>
  <si>
    <t>Fam ArbeitsErtrag Unternehmen</t>
  </si>
  <si>
    <t>Wertschöpfungskoeeffizient</t>
  </si>
  <si>
    <t>WSKoeffizient</t>
  </si>
  <si>
    <t>Kapitalkoeffizient</t>
  </si>
  <si>
    <t>Deckungsverhältnis I</t>
  </si>
  <si>
    <t>Deckungsverhältnis II</t>
  </si>
  <si>
    <t>Eigenkapitalquote</t>
  </si>
  <si>
    <t>Eigenkapitalquote %</t>
  </si>
  <si>
    <t>((i211+i216/!2-i177)/i220)*!100</t>
  </si>
  <si>
    <t>Kalkulatorische Eigenkapitalquote</t>
  </si>
  <si>
    <t>Eigenkapitalquote kalk.</t>
  </si>
  <si>
    <t>Eigenkapitalverzinsung</t>
  </si>
  <si>
    <t>Eigenkapitalverzinsung %</t>
  </si>
  <si>
    <t>Gesamtkapitalrendite</t>
  </si>
  <si>
    <t>Betriebsergebnis_N</t>
  </si>
  <si>
    <t>Reinertrag des Unternehmens</t>
  </si>
  <si>
    <t>Reinertrag des Unternehmens_N</t>
  </si>
  <si>
    <t>Umsatzrentabilität</t>
  </si>
  <si>
    <t>Umsatzrentabilität_N</t>
  </si>
  <si>
    <t>Neutrales Ergebnis</t>
  </si>
  <si>
    <t>i348-i455</t>
  </si>
  <si>
    <t>BB_B_Neutrales Ergebnis</t>
  </si>
  <si>
    <t>(i346+i347+i348)-(i451+i452+i453+i454+i455)</t>
  </si>
  <si>
    <t>Nettoverbindlichkeiten</t>
  </si>
  <si>
    <t>Nettoverbindlichkeiten_N</t>
  </si>
  <si>
    <t>(i212+i213+i214+i215+i216/!2)-(i174+i175+i176)</t>
  </si>
  <si>
    <t>Dynamischer Verschuldungsgrad</t>
  </si>
  <si>
    <t>Dynamischer Verschuldungsgrad_N</t>
  </si>
  <si>
    <t>Liquidität 1</t>
  </si>
  <si>
    <t>Liquidität 2</t>
  </si>
  <si>
    <t>(i174+i175)/(i213+i214)</t>
  </si>
  <si>
    <t>Liquidität 3</t>
  </si>
  <si>
    <t>Liquidität 3 (Thewes)</t>
  </si>
  <si>
    <t>Liquidität 3 Thewes</t>
  </si>
  <si>
    <t>Wertschöpfung</t>
  </si>
  <si>
    <t>Wertschöpfungs-Personalkosten-Koeffizient</t>
  </si>
  <si>
    <t>WPK-Wert</t>
  </si>
  <si>
    <t>Anlagenintensität</t>
  </si>
  <si>
    <t>Gemeinkostenaufschlag</t>
  </si>
  <si>
    <t>Kalk. Lohn unzurechenbar</t>
  </si>
  <si>
    <t>Kalk. Lohn zurechenbar</t>
  </si>
  <si>
    <t>Investitionsquote</t>
  </si>
  <si>
    <t>kalkulatorische Schuldentilgungsdauer</t>
  </si>
  <si>
    <t>Kapitaldienstgrenze kurzfristig</t>
  </si>
  <si>
    <t>Kapitaldienstgrenze nachhaltig</t>
  </si>
  <si>
    <t>Kapitaldienstreserve</t>
  </si>
  <si>
    <t>Langfristige Kapitaldienstgrenze</t>
  </si>
  <si>
    <t>Mittelfristige Kapitaldienstgrenze</t>
  </si>
  <si>
    <t>Kreditorenlaufzeit</t>
  </si>
  <si>
    <t>BEink./AK-Lohnaufwand/Fremd-AK</t>
  </si>
  <si>
    <t>Kalkulatorisches Kapital 6900</t>
  </si>
  <si>
    <t>Produktivstunden</t>
  </si>
  <si>
    <t>F1000</t>
  </si>
  <si>
    <t>F1100</t>
  </si>
  <si>
    <t>F1200</t>
  </si>
  <si>
    <t>F1210</t>
  </si>
  <si>
    <t>F1300</t>
  </si>
  <si>
    <t>F1310</t>
  </si>
  <si>
    <t>F1320</t>
  </si>
  <si>
    <t>F1330</t>
  </si>
  <si>
    <t>F1331</t>
  </si>
  <si>
    <t>F1400</t>
  </si>
  <si>
    <t>F1900</t>
  </si>
  <si>
    <t>F2000</t>
  </si>
  <si>
    <t>F2100</t>
  </si>
  <si>
    <t>F2110</t>
  </si>
  <si>
    <t>F2111</t>
  </si>
  <si>
    <t>F2200</t>
  </si>
  <si>
    <t>F2300</t>
  </si>
  <si>
    <t>F2400</t>
  </si>
  <si>
    <t>F2410</t>
  </si>
  <si>
    <t>F2500</t>
  </si>
  <si>
    <t>F2510</t>
  </si>
  <si>
    <t>F2520</t>
  </si>
  <si>
    <t>F2530</t>
  </si>
  <si>
    <t>F2531</t>
  </si>
  <si>
    <t>F2532</t>
  </si>
  <si>
    <t>F2533</t>
  </si>
  <si>
    <t>F2540</t>
  </si>
  <si>
    <t>F2541</t>
  </si>
  <si>
    <t>F2550</t>
  </si>
  <si>
    <t>F2551</t>
  </si>
  <si>
    <t>F2560</t>
  </si>
  <si>
    <t>F2561</t>
  </si>
  <si>
    <t>F2562</t>
  </si>
  <si>
    <t>F2563</t>
  </si>
  <si>
    <t>F2564</t>
  </si>
  <si>
    <t>F2565</t>
  </si>
  <si>
    <t>F2566</t>
  </si>
  <si>
    <t>F2567</t>
  </si>
  <si>
    <t>F2568</t>
  </si>
  <si>
    <t>F2570</t>
  </si>
  <si>
    <t>F2600</t>
  </si>
  <si>
    <t>F2620</t>
  </si>
  <si>
    <t>F2630</t>
  </si>
  <si>
    <t>F2700</t>
  </si>
  <si>
    <t>F2710</t>
  </si>
  <si>
    <t>F2720</t>
  </si>
  <si>
    <t>F2800</t>
  </si>
  <si>
    <t>F2810</t>
  </si>
  <si>
    <t>F2820</t>
  </si>
  <si>
    <t>F3000</t>
  </si>
  <si>
    <t>F3010</t>
  </si>
  <si>
    <t>F3020</t>
  </si>
  <si>
    <t>F3030</t>
  </si>
  <si>
    <t>F3100</t>
  </si>
  <si>
    <t>F3110</t>
  </si>
  <si>
    <t>F3120</t>
  </si>
  <si>
    <t>F3130</t>
  </si>
  <si>
    <t>F3140</t>
  </si>
  <si>
    <t>F3150</t>
  </si>
  <si>
    <t>F3200</t>
  </si>
  <si>
    <t>F3210</t>
  </si>
  <si>
    <t>F3211</t>
  </si>
  <si>
    <t>F3212</t>
  </si>
  <si>
    <t>F3213</t>
  </si>
  <si>
    <t>F3214</t>
  </si>
  <si>
    <t>F3215</t>
  </si>
  <si>
    <t>F3216</t>
  </si>
  <si>
    <t>F3217</t>
  </si>
  <si>
    <t>F3220</t>
  </si>
  <si>
    <t>F3221</t>
  </si>
  <si>
    <t>F3222</t>
  </si>
  <si>
    <t>F3230</t>
  </si>
  <si>
    <t>F3231</t>
  </si>
  <si>
    <t>F3240</t>
  </si>
  <si>
    <t>F3250</t>
  </si>
  <si>
    <t>F3260</t>
  </si>
  <si>
    <t>F3261</t>
  </si>
  <si>
    <t>F3270</t>
  </si>
  <si>
    <t>F3271</t>
  </si>
  <si>
    <t>F3272</t>
  </si>
  <si>
    <t>F3273</t>
  </si>
  <si>
    <t>F3300</t>
  </si>
  <si>
    <t>F3400</t>
  </si>
  <si>
    <t>F3410</t>
  </si>
  <si>
    <t>F3420</t>
  </si>
  <si>
    <t>F3430</t>
  </si>
  <si>
    <t>F3510</t>
  </si>
  <si>
    <t>F3511</t>
  </si>
  <si>
    <t>F3512</t>
  </si>
  <si>
    <t>F3513</t>
  </si>
  <si>
    <t>F3514</t>
  </si>
  <si>
    <t>F3515</t>
  </si>
  <si>
    <t>F3516</t>
  </si>
  <si>
    <t>F3517</t>
  </si>
  <si>
    <t>F3518</t>
  </si>
  <si>
    <t>F3519</t>
  </si>
  <si>
    <t>F3520</t>
  </si>
  <si>
    <t>F3521</t>
  </si>
  <si>
    <t>F3522</t>
  </si>
  <si>
    <t>F3523</t>
  </si>
  <si>
    <t>F3524</t>
  </si>
  <si>
    <t>F3525</t>
  </si>
  <si>
    <t>F3526</t>
  </si>
  <si>
    <t>F3527</t>
  </si>
  <si>
    <t>F3528</t>
  </si>
  <si>
    <t>F3529</t>
  </si>
  <si>
    <t>F3530</t>
  </si>
  <si>
    <t>F3540</t>
  </si>
  <si>
    <t>F3541</t>
  </si>
  <si>
    <t>F3542</t>
  </si>
  <si>
    <t>F3543</t>
  </si>
  <si>
    <t>F3544</t>
  </si>
  <si>
    <t>F3545</t>
  </si>
  <si>
    <t>F3546</t>
  </si>
  <si>
    <t>F3550</t>
  </si>
  <si>
    <t>F3551</t>
  </si>
  <si>
    <t>F3552</t>
  </si>
  <si>
    <t>F3553</t>
  </si>
  <si>
    <t>F3554</t>
  </si>
  <si>
    <t>F4000</t>
  </si>
  <si>
    <t>F4010</t>
  </si>
  <si>
    <t>F4020</t>
  </si>
  <si>
    <t>F4030</t>
  </si>
  <si>
    <t>F4100</t>
  </si>
  <si>
    <t>F4110</t>
  </si>
  <si>
    <t>F4120</t>
  </si>
  <si>
    <t>F4130</t>
  </si>
  <si>
    <t>F4140</t>
  </si>
  <si>
    <t>F4200</t>
  </si>
  <si>
    <t>F4210</t>
  </si>
  <si>
    <t>F4300</t>
  </si>
  <si>
    <t>F4310</t>
  </si>
  <si>
    <t>F4311</t>
  </si>
  <si>
    <t>F4312</t>
  </si>
  <si>
    <t>F4313</t>
  </si>
  <si>
    <t>F4314</t>
  </si>
  <si>
    <t>F4315</t>
  </si>
  <si>
    <t>F4316</t>
  </si>
  <si>
    <t>F4317</t>
  </si>
  <si>
    <t>F4318</t>
  </si>
  <si>
    <t>F4319</t>
  </si>
  <si>
    <t>F4320</t>
  </si>
  <si>
    <t>F4321</t>
  </si>
  <si>
    <t>F4322</t>
  </si>
  <si>
    <t>F4323</t>
  </si>
  <si>
    <t>F4324</t>
  </si>
  <si>
    <t>F4325</t>
  </si>
  <si>
    <t>F4326</t>
  </si>
  <si>
    <t>F4327</t>
  </si>
  <si>
    <t>F4328</t>
  </si>
  <si>
    <t>F4329</t>
  </si>
  <si>
    <t>F4330</t>
  </si>
  <si>
    <t>F4331</t>
  </si>
  <si>
    <t>F4332</t>
  </si>
  <si>
    <t>F4340</t>
  </si>
  <si>
    <t>F4350</t>
  </si>
  <si>
    <t>F4360</t>
  </si>
  <si>
    <t>F4361</t>
  </si>
  <si>
    <t>F4362</t>
  </si>
  <si>
    <t>F4363</t>
  </si>
  <si>
    <t>F4370</t>
  </si>
  <si>
    <t>F4371</t>
  </si>
  <si>
    <t>F4372</t>
  </si>
  <si>
    <t>F4373</t>
  </si>
  <si>
    <t>F4374</t>
  </si>
  <si>
    <t>F4375</t>
  </si>
  <si>
    <t>F4376</t>
  </si>
  <si>
    <t>F4400</t>
  </si>
  <si>
    <t>F4410</t>
  </si>
  <si>
    <t>F4420</t>
  </si>
  <si>
    <t>F4430</t>
  </si>
  <si>
    <t>F4450</t>
  </si>
  <si>
    <t>F4460</t>
  </si>
  <si>
    <t>F4470</t>
  </si>
  <si>
    <t>F4471</t>
  </si>
  <si>
    <t>F4472</t>
  </si>
  <si>
    <t>F4473</t>
  </si>
  <si>
    <t>F4500</t>
  </si>
  <si>
    <t>F4510</t>
  </si>
  <si>
    <t>F4511</t>
  </si>
  <si>
    <t>F4512</t>
  </si>
  <si>
    <t>F4513</t>
  </si>
  <si>
    <t>F4514</t>
  </si>
  <si>
    <t>F4515</t>
  </si>
  <si>
    <t>F4516</t>
  </si>
  <si>
    <t>F4520</t>
  </si>
  <si>
    <t>F4521</t>
  </si>
  <si>
    <t>F4522</t>
  </si>
  <si>
    <t>F4523</t>
  </si>
  <si>
    <t>F4524</t>
  </si>
  <si>
    <t>F4530</t>
  </si>
  <si>
    <t>F4531</t>
  </si>
  <si>
    <t>F4532</t>
  </si>
  <si>
    <t>F4533</t>
  </si>
  <si>
    <t>F4600</t>
  </si>
  <si>
    <t>F4610</t>
  </si>
  <si>
    <t>F4620</t>
  </si>
  <si>
    <t>F4710</t>
  </si>
  <si>
    <t>F4711</t>
  </si>
  <si>
    <t>F4712</t>
  </si>
  <si>
    <t>F4713</t>
  </si>
  <si>
    <t>F4714</t>
  </si>
  <si>
    <t>F4715</t>
  </si>
  <si>
    <t>F4716</t>
  </si>
  <si>
    <t>F4717</t>
  </si>
  <si>
    <t>F4720</t>
  </si>
  <si>
    <t>F4730</t>
  </si>
  <si>
    <t>F4910</t>
  </si>
  <si>
    <t>F4920</t>
  </si>
  <si>
    <t>F4930</t>
  </si>
  <si>
    <t>F4940</t>
  </si>
  <si>
    <t>F4950</t>
  </si>
  <si>
    <t>F5000</t>
  </si>
  <si>
    <t>F5010</t>
  </si>
  <si>
    <t>F5100</t>
  </si>
  <si>
    <t>F5110</t>
  </si>
  <si>
    <t>F5120</t>
  </si>
  <si>
    <t>F5130</t>
  </si>
  <si>
    <t>F5200</t>
  </si>
  <si>
    <t>F5210</t>
  </si>
  <si>
    <t>F5220</t>
  </si>
  <si>
    <t>F5230</t>
  </si>
  <si>
    <t>F5240</t>
  </si>
  <si>
    <t>F5250</t>
  </si>
  <si>
    <t>F5251</t>
  </si>
  <si>
    <t>F5252</t>
  </si>
  <si>
    <t>F5253</t>
  </si>
  <si>
    <t>F5254</t>
  </si>
  <si>
    <t>F5255</t>
  </si>
  <si>
    <t>F5256</t>
  </si>
  <si>
    <t>F5257</t>
  </si>
  <si>
    <t>F5300</t>
  </si>
  <si>
    <t>F5310</t>
  </si>
  <si>
    <t>F5320</t>
  </si>
  <si>
    <t>F5400</t>
  </si>
  <si>
    <t>F5410</t>
  </si>
  <si>
    <t>F5420</t>
  </si>
  <si>
    <t>F5510</t>
  </si>
  <si>
    <t>F5520</t>
  </si>
  <si>
    <t>F5910</t>
  </si>
  <si>
    <t>F5920</t>
  </si>
  <si>
    <t>F6000</t>
  </si>
  <si>
    <t>F6100</t>
  </si>
  <si>
    <t>F6110</t>
  </si>
  <si>
    <t>F6111</t>
  </si>
  <si>
    <t>F6112</t>
  </si>
  <si>
    <t>F6200</t>
  </si>
  <si>
    <t>F6210</t>
  </si>
  <si>
    <t>F6300</t>
  </si>
  <si>
    <t>F6301</t>
  </si>
  <si>
    <t>F6302</t>
  </si>
  <si>
    <t>F6400</t>
  </si>
  <si>
    <t>F6410</t>
  </si>
  <si>
    <t>F6420</t>
  </si>
  <si>
    <t>F6430</t>
  </si>
  <si>
    <t>F6500</t>
  </si>
  <si>
    <t>F6510</t>
  </si>
  <si>
    <t>F6520</t>
  </si>
  <si>
    <t>F6600</t>
  </si>
  <si>
    <t>F6700</t>
  </si>
  <si>
    <t>F6910</t>
  </si>
  <si>
    <t>F6920</t>
  </si>
  <si>
    <t>F9000</t>
  </si>
  <si>
    <t>F9010</t>
  </si>
  <si>
    <t>F9020</t>
  </si>
  <si>
    <t>F9030</t>
  </si>
  <si>
    <t>F9040</t>
  </si>
  <si>
    <t>F9041</t>
  </si>
  <si>
    <t>F9100</t>
  </si>
  <si>
    <t>F9110</t>
  </si>
  <si>
    <t>F9120</t>
  </si>
  <si>
    <t>F9130</t>
  </si>
  <si>
    <t>F9140</t>
  </si>
  <si>
    <t>F9150</t>
  </si>
  <si>
    <t>F9200</t>
  </si>
  <si>
    <t>F9300</t>
  </si>
  <si>
    <t>F9310</t>
  </si>
  <si>
    <t>F9320</t>
  </si>
  <si>
    <t>F9330</t>
  </si>
  <si>
    <t>F9340</t>
  </si>
  <si>
    <t>F9350</t>
  </si>
  <si>
    <t>F9400</t>
  </si>
  <si>
    <t>F9410</t>
  </si>
  <si>
    <t>F9420</t>
  </si>
  <si>
    <t>F9430</t>
  </si>
  <si>
    <t>F9440</t>
  </si>
  <si>
    <t>F9500</t>
  </si>
  <si>
    <t>F9510</t>
  </si>
  <si>
    <t>F9520</t>
  </si>
  <si>
    <t>F9530</t>
  </si>
  <si>
    <t>F9540</t>
  </si>
  <si>
    <t>F9550</t>
  </si>
  <si>
    <t>F9600</t>
  </si>
  <si>
    <t>F9610</t>
  </si>
  <si>
    <t>F9620</t>
  </si>
  <si>
    <t>F9630</t>
  </si>
  <si>
    <t>F9701</t>
  </si>
  <si>
    <t>F9702</t>
  </si>
  <si>
    <t>F9711</t>
  </si>
  <si>
    <t>F9712</t>
  </si>
  <si>
    <t>F9713</t>
  </si>
  <si>
    <t>F9721</t>
  </si>
  <si>
    <t>F9722</t>
  </si>
  <si>
    <t>F9723</t>
  </si>
  <si>
    <t>F9724</t>
  </si>
  <si>
    <t>F9731</t>
  </si>
  <si>
    <t>F9732</t>
  </si>
  <si>
    <t>F9733</t>
  </si>
  <si>
    <t>F9734</t>
  </si>
  <si>
    <t>F9735</t>
  </si>
  <si>
    <t>F9741</t>
  </si>
  <si>
    <t>F9742</t>
  </si>
  <si>
    <t>F9743</t>
  </si>
  <si>
    <t>F9744</t>
  </si>
  <si>
    <t>F9745</t>
  </si>
  <si>
    <t>kalkStd_VollAK</t>
  </si>
  <si>
    <t>EVF</t>
  </si>
  <si>
    <t>Sonst.UA</t>
  </si>
  <si>
    <t>steuerl.Sonderposten</t>
  </si>
  <si>
    <t>Zins kalk Vermögen (betriebl.)_N</t>
  </si>
  <si>
    <t>Jahr</t>
  </si>
  <si>
    <t>BetriebsNr</t>
  </si>
  <si>
    <t>Land</t>
  </si>
  <si>
    <t>BuchStelle</t>
  </si>
  <si>
    <t>Typ_Klasse</t>
  </si>
  <si>
    <t>Typ_Sparte1</t>
  </si>
  <si>
    <t>Typ_Sparte2</t>
  </si>
  <si>
    <t>Typ_Gruppe</t>
  </si>
  <si>
    <t>Soziale Einrichtung</t>
  </si>
  <si>
    <t>WirtschaftsJ</t>
  </si>
  <si>
    <t>SteuerForm</t>
  </si>
  <si>
    <t>RechtsForm</t>
  </si>
  <si>
    <t>Anzahl Geschäftsführer</t>
  </si>
  <si>
    <t>Buchungsform</t>
  </si>
  <si>
    <t>LageBetrieb</t>
  </si>
  <si>
    <t>Ökobetrieb</t>
  </si>
  <si>
    <t>Sonderauswertung</t>
  </si>
  <si>
    <t>DatPosteingang</t>
  </si>
  <si>
    <t>DatEingabe</t>
  </si>
  <si>
    <t>DatBearbeitung</t>
  </si>
  <si>
    <t>DatBriefDruck</t>
  </si>
  <si>
    <t>DatVersand</t>
  </si>
  <si>
    <t>DatIdentLauf</t>
  </si>
  <si>
    <t>Fehlersumme</t>
  </si>
  <si>
    <t>FehlerHandling</t>
  </si>
  <si>
    <t>ShowSummen</t>
  </si>
  <si>
    <t>ShowBereich1</t>
  </si>
  <si>
    <t>ShowBereich2</t>
  </si>
  <si>
    <t>gesetzteGruppe</t>
  </si>
  <si>
    <t>V0047</t>
  </si>
  <si>
    <t>BenutzerErheb</t>
  </si>
  <si>
    <t>BuchstellenInfo</t>
  </si>
  <si>
    <t>Kalk.Lohnansatz</t>
  </si>
  <si>
    <t>Kalk.Umlaufvermögen</t>
  </si>
  <si>
    <t>Ausgabe Einzelwerte</t>
  </si>
  <si>
    <t>kalk.AK Bau</t>
  </si>
  <si>
    <t>Sonderwert1</t>
  </si>
  <si>
    <t>SonderText1</t>
  </si>
  <si>
    <t>SonderWert2</t>
  </si>
  <si>
    <t>SonderText2</t>
  </si>
  <si>
    <t>Umstellungsjahr</t>
  </si>
  <si>
    <t>Sortierung</t>
  </si>
  <si>
    <t>Betriebstyp</t>
  </si>
  <si>
    <t>Auswertung</t>
  </si>
  <si>
    <t>mit Bilanz</t>
  </si>
  <si>
    <t>V0066-aus_DM</t>
  </si>
  <si>
    <t>V0067-DM-EURO</t>
  </si>
  <si>
    <t>VersionsNummer</t>
  </si>
  <si>
    <t>V0069-Alter Bogen</t>
  </si>
  <si>
    <t>Sparte-gesetzt</t>
  </si>
  <si>
    <t>Foerderauflage</t>
  </si>
  <si>
    <t>EU_BetriebsNum</t>
  </si>
  <si>
    <t>ZuBoden</t>
  </si>
  <si>
    <t>ZuWirtschgebäude</t>
  </si>
  <si>
    <t>ZuGewächshäuser</t>
  </si>
  <si>
    <t>ZuDauerkultur</t>
  </si>
  <si>
    <t>ZuMaschinenGeräte</t>
  </si>
  <si>
    <t>ZuHeizanlage</t>
  </si>
  <si>
    <t>ZuFuhrpark</t>
  </si>
  <si>
    <t>Finanzanlage</t>
  </si>
  <si>
    <t>ZuSonstiges</t>
  </si>
  <si>
    <t>Zugänge Summe</t>
  </si>
  <si>
    <t>AbBoden</t>
  </si>
  <si>
    <t>AbWirtschgebäude</t>
  </si>
  <si>
    <t>AbGewächshäuser</t>
  </si>
  <si>
    <t>AbDauerkultur</t>
  </si>
  <si>
    <t>AbMaschineGeräte</t>
  </si>
  <si>
    <t>Heizanlage</t>
  </si>
  <si>
    <t>AbFuhrpark</t>
  </si>
  <si>
    <t>AbFinanzanlage</t>
  </si>
  <si>
    <t>AbSonstiges</t>
  </si>
  <si>
    <t>AbgängeSumme</t>
  </si>
  <si>
    <t>AfA Wirtschgeb.</t>
  </si>
  <si>
    <t>AfA MaschineGer</t>
  </si>
  <si>
    <t>AfA Heizanlage</t>
  </si>
  <si>
    <t>AfA Finanzanlagen</t>
  </si>
  <si>
    <t>AfA Sonstiges</t>
  </si>
  <si>
    <t>AfA Summe</t>
  </si>
  <si>
    <t>davon Sonder AFA</t>
  </si>
  <si>
    <t>AB EigeneProduktion</t>
  </si>
  <si>
    <t>AB zugek.Handelsw.</t>
  </si>
  <si>
    <t>AB zug.Hilf./Be.stf.</t>
  </si>
  <si>
    <t>AB Forderungen</t>
  </si>
  <si>
    <t>AB Kasse/Bank</t>
  </si>
  <si>
    <t>AB Sonst. und ARAP</t>
  </si>
  <si>
    <t>AB Unterbilanz</t>
  </si>
  <si>
    <t>ABUmlauf Summe</t>
  </si>
  <si>
    <t>EB Boden</t>
  </si>
  <si>
    <t>EB Wirtschgeb.</t>
  </si>
  <si>
    <t>EB Gewächshäuser</t>
  </si>
  <si>
    <t>EB Dauerkulturen</t>
  </si>
  <si>
    <t>EB MaschineGer</t>
  </si>
  <si>
    <t>EB Heizanlage</t>
  </si>
  <si>
    <t>EB Fuhrpark</t>
  </si>
  <si>
    <t>EB Finanzanlagen</t>
  </si>
  <si>
    <t>EB Sonstiges</t>
  </si>
  <si>
    <t>EB Summe</t>
  </si>
  <si>
    <t>SB Boden</t>
  </si>
  <si>
    <t>SB Wirtgebäude</t>
  </si>
  <si>
    <t>SB Gewächshäuser</t>
  </si>
  <si>
    <t>SB Dauerkulturen</t>
  </si>
  <si>
    <t>SB Masch./Gerä.</t>
  </si>
  <si>
    <t>SB Heizanlage</t>
  </si>
  <si>
    <t>SB Fuhrparkg</t>
  </si>
  <si>
    <t>SB Finanzanlage</t>
  </si>
  <si>
    <t>SB Sonstiges</t>
  </si>
  <si>
    <t>Sum.Anlagevermögen</t>
  </si>
  <si>
    <t>SB EigenProduktion</t>
  </si>
  <si>
    <t>zugek. Handelsw.</t>
  </si>
  <si>
    <t>SB zug.Hilf./Be.stf.</t>
  </si>
  <si>
    <t>SB Forderungen</t>
  </si>
  <si>
    <t>SB Kasse/Bank</t>
  </si>
  <si>
    <t>SB sonstigeARAP</t>
  </si>
  <si>
    <t>SB Unterbilanz</t>
  </si>
  <si>
    <t>SB Aktiva Summe</t>
  </si>
  <si>
    <t>AB Eigenkap. Passiva</t>
  </si>
  <si>
    <t>AB Darlehen</t>
  </si>
  <si>
    <t>AB Kontokorrent</t>
  </si>
  <si>
    <t>AB sonst.Verbindl.</t>
  </si>
  <si>
    <t>AB Rückstellung  etc</t>
  </si>
  <si>
    <t>AB Sonderposten</t>
  </si>
  <si>
    <t>AB Passiva Summe</t>
  </si>
  <si>
    <t>SB Eigenkapital</t>
  </si>
  <si>
    <t>SB Darl.Hypo,m./lfr.</t>
  </si>
  <si>
    <t>Kontokorrent Passiva</t>
  </si>
  <si>
    <t>sonst. Verbindlichk.</t>
  </si>
  <si>
    <t>Rückst.Wertb.Rech.</t>
  </si>
  <si>
    <t>SB Sonderposten</t>
  </si>
  <si>
    <t>Passiva FK davon Anzahliung</t>
  </si>
  <si>
    <t>Passiva Summe</t>
  </si>
  <si>
    <t>Eigenkapital AB</t>
  </si>
  <si>
    <t>Unterbilanz EK-Entw.</t>
  </si>
  <si>
    <t>Verlust EK-Entwicklung</t>
  </si>
  <si>
    <t>Summe EK-Entwickl</t>
  </si>
  <si>
    <t>Ertrag Prozent</t>
  </si>
  <si>
    <t>Topfpflanzen</t>
  </si>
  <si>
    <t>Schnittblumen UGlas</t>
  </si>
  <si>
    <t>Schnittblumen Freiland</t>
  </si>
  <si>
    <t>Jungpflanzen Zier</t>
  </si>
  <si>
    <t>Stauden</t>
  </si>
  <si>
    <t>Gemüse Freiland</t>
  </si>
  <si>
    <t>Gemüse UGlas</t>
  </si>
  <si>
    <t>Gemüse Jungpflanzen</t>
  </si>
  <si>
    <t>Gemüse Pilze</t>
  </si>
  <si>
    <t>LW Ackerbau</t>
  </si>
  <si>
    <t>BS Container</t>
  </si>
  <si>
    <t>Ertr. Weihnachtsbaum</t>
  </si>
  <si>
    <t>Ertr. Hand. Topfpfl.</t>
  </si>
  <si>
    <t>Ertr. Hand. Obst/Gem.</t>
  </si>
  <si>
    <t>Ertr. Hand. Baumsch.</t>
  </si>
  <si>
    <t>Ertr. Hand. Hartware</t>
  </si>
  <si>
    <t>Ertr. Kranzbinderei</t>
  </si>
  <si>
    <t>Ertrag GaLaBau</t>
  </si>
  <si>
    <t>Etrag Friedhof</t>
  </si>
  <si>
    <t>Ertr. sonst. Dienstl.</t>
  </si>
  <si>
    <t>dav. Obst geschützter Anbau</t>
  </si>
  <si>
    <t>Summe Ertrag aus Gb</t>
  </si>
  <si>
    <t>Ertr. Zusch./Zulagen</t>
  </si>
  <si>
    <t>Ertrag Privatanteile</t>
  </si>
  <si>
    <t>Ertrag Umsatzsteuer</t>
  </si>
  <si>
    <t>Ertrag Mehr Vorrat</t>
  </si>
  <si>
    <t>Ertrag son.Betriebser.</t>
  </si>
  <si>
    <t>Ertr. Mieten/Pachten</t>
  </si>
  <si>
    <t>Ertrag Zinserträge</t>
  </si>
  <si>
    <t>neutraler Ertrag</t>
  </si>
  <si>
    <t>Verlust in Ertrag</t>
  </si>
  <si>
    <t>Summe Gesamt-Ertrag</t>
  </si>
  <si>
    <t>Ertrag Sonderposten</t>
  </si>
  <si>
    <t>LW Vieh</t>
  </si>
  <si>
    <t>Praemie Betrieb</t>
  </si>
  <si>
    <t>Prämie Fläche</t>
  </si>
  <si>
    <t>Mineralölsteuererst</t>
  </si>
  <si>
    <t>Zuschuss Investitionen</t>
  </si>
  <si>
    <t>Absatz Prod+Hand %</t>
  </si>
  <si>
    <t>Absatz Laden</t>
  </si>
  <si>
    <t>Absatz Abhof</t>
  </si>
  <si>
    <t>Absatz Großhandel</t>
  </si>
  <si>
    <t>Absatz Fahrverkauf</t>
  </si>
  <si>
    <t>Absatz Lief./Ketten</t>
  </si>
  <si>
    <t>Absatz Genos./Verst.</t>
  </si>
  <si>
    <t>Absatz andere Gärtner</t>
  </si>
  <si>
    <t>Abs. öff.Hand,Großk.</t>
  </si>
  <si>
    <t>Absatz sonstige Wege</t>
  </si>
  <si>
    <t>Absatz Dienstl. %</t>
  </si>
  <si>
    <t>Abs. Dienst./Privk.</t>
  </si>
  <si>
    <t>Absatz Dienst Firmen</t>
  </si>
  <si>
    <t>Abs. Dienst öff.Hand</t>
  </si>
  <si>
    <t>Absatz Friedhof</t>
  </si>
  <si>
    <t>Online-Shop</t>
  </si>
  <si>
    <t>Bestveränder GaLa Bau</t>
  </si>
  <si>
    <t>Wochenmarkt</t>
  </si>
  <si>
    <t>Wochenmarkt 2</t>
  </si>
  <si>
    <t>Wochenmarkt 3</t>
  </si>
  <si>
    <t>Wochenmarkt 4</t>
  </si>
  <si>
    <t>Wochenmarkt 5</t>
  </si>
  <si>
    <t>Abo-Kiste</t>
  </si>
  <si>
    <t>Großküchen</t>
  </si>
  <si>
    <t>Industriepreis</t>
  </si>
  <si>
    <t>Zwischenabrechnung GaLa Bau</t>
  </si>
  <si>
    <t>ohne Zwabrechnung GaLa Bau</t>
  </si>
  <si>
    <t>Ertrag Leergut</t>
  </si>
  <si>
    <t>Saat u Pflanzgut</t>
  </si>
  <si>
    <t>Rohware Aufwand</t>
  </si>
  <si>
    <t>Dünger</t>
  </si>
  <si>
    <t>Pflanzenschutz</t>
  </si>
  <si>
    <t>Kulturgefäße  Aufwand</t>
  </si>
  <si>
    <t>Substrat Aufwand</t>
  </si>
  <si>
    <t>Gefäße,Substrate</t>
  </si>
  <si>
    <t>Strom Aufwand</t>
  </si>
  <si>
    <t>Wasser Aufwand</t>
  </si>
  <si>
    <t>Wasser und Strom</t>
  </si>
  <si>
    <t>Heizmaterial Prod.</t>
  </si>
  <si>
    <t>Verpackung</t>
  </si>
  <si>
    <t>son.Spezialaufw.Gb</t>
  </si>
  <si>
    <t>Spezialaufw. Landw.</t>
  </si>
  <si>
    <t>Aufw. gä. Handelsw.</t>
  </si>
  <si>
    <t>Florist.Verpack.Aufw</t>
  </si>
  <si>
    <t>Dienstl.Pflanzmaterial</t>
  </si>
  <si>
    <t>Dienstl.Material</t>
  </si>
  <si>
    <t>Dienstl. Fremdf.</t>
  </si>
  <si>
    <t>Lohn feste AK</t>
  </si>
  <si>
    <t>Saisonlöhne Aufwand</t>
  </si>
  <si>
    <t>LohnGeschäftsführer</t>
  </si>
  <si>
    <t>Vermarktungsgebühren</t>
  </si>
  <si>
    <t>Lohn Fam-AK</t>
  </si>
  <si>
    <t>Aufw. Wirtschaftsg.</t>
  </si>
  <si>
    <t>Aufwand Gewächsh.</t>
  </si>
  <si>
    <t>Aufwand Geräte</t>
  </si>
  <si>
    <t>sonst.Unterhalt.Aufw.</t>
  </si>
  <si>
    <t>Treib-u Schmierstoffe</t>
  </si>
  <si>
    <t>Steuern Fuhrpark</t>
  </si>
  <si>
    <t>Standmiete Aufwand</t>
  </si>
  <si>
    <t>Werbung</t>
  </si>
  <si>
    <t>Lagergebühr</t>
  </si>
  <si>
    <t>Verma.gebüh./Boni</t>
  </si>
  <si>
    <t>Aufwand AfA</t>
  </si>
  <si>
    <t>Aufwand Heizm. allg.</t>
  </si>
  <si>
    <t>Lohnarb./Masch.miete</t>
  </si>
  <si>
    <t>Minderung Vorräte</t>
  </si>
  <si>
    <t>Betr.versich./Steu.</t>
  </si>
  <si>
    <t>sonst.+allg.Aufwand</t>
  </si>
  <si>
    <t>Vorsteu. mit Invest.</t>
  </si>
  <si>
    <t>Versicher. Fuhrpark</t>
  </si>
  <si>
    <t>Pachten Aufwand</t>
  </si>
  <si>
    <t>sonst.+neutr.Aufwand</t>
  </si>
  <si>
    <t>Gewinn Aufwand</t>
  </si>
  <si>
    <t>Aufwand Sonderposten</t>
  </si>
  <si>
    <t>Verbandbeiträge</t>
  </si>
  <si>
    <t>sonstige Abgaben</t>
  </si>
  <si>
    <t>Betriebsversicherungen</t>
  </si>
  <si>
    <t>Fremdtransport</t>
  </si>
  <si>
    <t>Gala Entsorgung</t>
  </si>
  <si>
    <t>Leasing Maschinen</t>
  </si>
  <si>
    <t>Fremdarb. AN-Überl.</t>
  </si>
  <si>
    <t>Fremdarb. Vertrieb</t>
  </si>
  <si>
    <t>Hochglas beheizbar</t>
  </si>
  <si>
    <t>Hochglas unbeheizt</t>
  </si>
  <si>
    <t>Freiland Zier</t>
  </si>
  <si>
    <t>Freiland Gemüse</t>
  </si>
  <si>
    <t>Freiland Baumschule</t>
  </si>
  <si>
    <t>Freiland Obst</t>
  </si>
  <si>
    <t>Landwirt.Fläche</t>
  </si>
  <si>
    <t>Verkauf Freiland</t>
  </si>
  <si>
    <t>sonstige Flächen</t>
  </si>
  <si>
    <t>Summe Betriebsfläche</t>
  </si>
  <si>
    <t>Verpachtete Fläche</t>
  </si>
  <si>
    <t>Fl. Hochgl. beh. Zier</t>
  </si>
  <si>
    <t>Fl. Hochgl. unbeh. Zier</t>
  </si>
  <si>
    <t>Fläche in Gründüngung</t>
  </si>
  <si>
    <t>Fl. mit Bewässerung</t>
  </si>
  <si>
    <t>Containerfläche Zier</t>
  </si>
  <si>
    <t>Containerfläche Baum</t>
  </si>
  <si>
    <t>Fläche Weihnachtsbaum</t>
  </si>
  <si>
    <t>nichtentlohnte AK</t>
  </si>
  <si>
    <t>entlohnte AK</t>
  </si>
  <si>
    <t>Auszubildende</t>
  </si>
  <si>
    <t>Summe Voll-AK</t>
  </si>
  <si>
    <t>Saison AK in Stunden</t>
  </si>
  <si>
    <t xml:space="preserve">AN-Überlassung </t>
  </si>
  <si>
    <t>Saison-AK ohne Lohn</t>
  </si>
  <si>
    <t>Fremd-AK ohne Lohn</t>
  </si>
  <si>
    <t>n.entl. AK Dir.Abs.</t>
  </si>
  <si>
    <t>entl.AK Dir.Abs.</t>
  </si>
  <si>
    <t>Azubi AK Dir.Absatz</t>
  </si>
  <si>
    <t>Summe AK Dir.Absatz</t>
  </si>
  <si>
    <t>Saison AK Direktabs.</t>
  </si>
  <si>
    <t>AN-Überlassung EP</t>
  </si>
  <si>
    <t>Saison-AK o Lohn Direkt</t>
  </si>
  <si>
    <t>Fest_AK o.Lohn Produktion</t>
  </si>
  <si>
    <t>sonst Fam-AK Verk.</t>
  </si>
  <si>
    <t>Fam-AK Dienstl.</t>
  </si>
  <si>
    <t>AK in Dienstl.</t>
  </si>
  <si>
    <t>Azubi AK Dienstl</t>
  </si>
  <si>
    <t>Summe AK Dienstl</t>
  </si>
  <si>
    <t>AN-Überlassung DA</t>
  </si>
  <si>
    <t>Saison-AK o Lohn Dienst</t>
  </si>
  <si>
    <t>Fest_AK Dienstleistung</t>
  </si>
  <si>
    <t>sonst. Fam-AK Dienst.</t>
  </si>
  <si>
    <t>Fam-AK Produktion</t>
  </si>
  <si>
    <t>Fest-AK Produktion</t>
  </si>
  <si>
    <t>Azubi Produktion</t>
  </si>
  <si>
    <t>AN-Überlassung DL</t>
  </si>
  <si>
    <t>Fest-AK ohne Lohn Produktion</t>
  </si>
  <si>
    <t>sonst.Fam-AK Prod.</t>
  </si>
  <si>
    <t>Geschäftsführer</t>
  </si>
  <si>
    <t>GF AK Absatz</t>
  </si>
  <si>
    <t>GF AK Dienstleistung</t>
  </si>
  <si>
    <t>GF AK Produktion</t>
  </si>
  <si>
    <t>Oeko Verband</t>
  </si>
  <si>
    <t>Oeko anderer Verband</t>
  </si>
  <si>
    <t>Oeko Handel Aufschlag</t>
  </si>
  <si>
    <t>%Frühjahrsverkauf</t>
  </si>
  <si>
    <t>Beet+Balk.son.Zeitr.</t>
  </si>
  <si>
    <t>%Azaleen</t>
  </si>
  <si>
    <t>%Eriken</t>
  </si>
  <si>
    <t>%Calluna</t>
  </si>
  <si>
    <t>%sonst. Azerca</t>
  </si>
  <si>
    <t>%Erica carnea</t>
  </si>
  <si>
    <t>%Gaultheria</t>
  </si>
  <si>
    <t>%Hedera</t>
  </si>
  <si>
    <t>%Farne</t>
  </si>
  <si>
    <t>%sonstige Grünpfl.</t>
  </si>
  <si>
    <t>%Begonien</t>
  </si>
  <si>
    <t>%Cyclamen</t>
  </si>
  <si>
    <t>%Poinsettien</t>
  </si>
  <si>
    <t>%Saintpaulien</t>
  </si>
  <si>
    <t>%Topf Chrysanthemen</t>
  </si>
  <si>
    <t>%Hortensien</t>
  </si>
  <si>
    <t>%Calc.Cin.Prim.</t>
  </si>
  <si>
    <t>%Orch.Anth.Brom.</t>
  </si>
  <si>
    <t>%Topf sonstige</t>
  </si>
  <si>
    <t>%Schnitt Rosen</t>
  </si>
  <si>
    <t>%Schnitt Gerbera</t>
  </si>
  <si>
    <t>%Schnitt Chrys.</t>
  </si>
  <si>
    <t>%Schnittgrün,Beiwerk</t>
  </si>
  <si>
    <t>%Orchideen</t>
  </si>
  <si>
    <t>%Zwiebel und Knollen</t>
  </si>
  <si>
    <t>%Schnitt Euphorbien</t>
  </si>
  <si>
    <t>%Schnitt Nelken</t>
  </si>
  <si>
    <t>%Schnitt Zwiebeltr.</t>
  </si>
  <si>
    <t>%son. einj. Schnitt</t>
  </si>
  <si>
    <t>%son. mehrj. Schnitt</t>
  </si>
  <si>
    <t>%Schnitt Rosen Freil</t>
  </si>
  <si>
    <t>%Sommerblumen</t>
  </si>
  <si>
    <t>%Schnittstauden Freil.</t>
  </si>
  <si>
    <t>%sonst FreilandSchnitt</t>
  </si>
  <si>
    <t>%ProdTechZier</t>
  </si>
  <si>
    <t>%Freil.Brok./Bl.kohl</t>
  </si>
  <si>
    <t>%Freil.Salate</t>
  </si>
  <si>
    <t>%Freil.Radies,Rettich</t>
  </si>
  <si>
    <t>%Freil.Chinak./Kohlr.</t>
  </si>
  <si>
    <t>%Freil.sonst.Feingem.</t>
  </si>
  <si>
    <t>%Freil.Spargel</t>
  </si>
  <si>
    <t>%Freil.Kopfkohl</t>
  </si>
  <si>
    <t>%Freil.sonst.Grobgem.</t>
  </si>
  <si>
    <t>%Freil.Vertr.anbau</t>
  </si>
  <si>
    <t>%UGlas Tomaten</t>
  </si>
  <si>
    <t>%UGlas Gurken</t>
  </si>
  <si>
    <t>%UGlas Salate</t>
  </si>
  <si>
    <t>%UGlas Radies,Rettich</t>
  </si>
  <si>
    <t>%UGlas Kräuter</t>
  </si>
  <si>
    <t>%UGlas son. Gemüse</t>
  </si>
  <si>
    <t>%Umsatz erdel. Kul.</t>
  </si>
  <si>
    <t>Kulturfläche Pilze</t>
  </si>
  <si>
    <t>Zus. BS Prod.Schwerp.</t>
  </si>
  <si>
    <t>% BS Laubgehölze</t>
  </si>
  <si>
    <t>% BS Koniferen</t>
  </si>
  <si>
    <t>% BS Rosen</t>
  </si>
  <si>
    <t>% BS Rhodo/Azaleen</t>
  </si>
  <si>
    <t>% BS Bodendecker</t>
  </si>
  <si>
    <t>BS Fläche% Laubg</t>
  </si>
  <si>
    <t>BS Fläche% Koniferen</t>
  </si>
  <si>
    <t>BS Fläche% Rosen</t>
  </si>
  <si>
    <t>BS Flä.% Rhodo/Azal.</t>
  </si>
  <si>
    <t>BS Flä.% Bodend.</t>
  </si>
  <si>
    <t>% BS Container Ertrag</t>
  </si>
  <si>
    <t>%Fläche Container</t>
  </si>
  <si>
    <t>Produktiosschwerpunkt Obst</t>
  </si>
  <si>
    <t>Ertrag Äpfel</t>
  </si>
  <si>
    <t>Ertrag sonst. Kernobst</t>
  </si>
  <si>
    <t>Ertrag Kirschen</t>
  </si>
  <si>
    <t>Ertrag sonst. Steinobst</t>
  </si>
  <si>
    <t>Ertrag Beeren</t>
  </si>
  <si>
    <t>Ertrag Erdberen</t>
  </si>
  <si>
    <t>Obst  Ertrag Summe</t>
  </si>
  <si>
    <t>Fl. Äpfel insges.</t>
  </si>
  <si>
    <t>Fl. son. Kernobst</t>
  </si>
  <si>
    <t>Fl. Kirschen insg.</t>
  </si>
  <si>
    <t>Fl.ins.son.Steinob.</t>
  </si>
  <si>
    <t>Fl. insg. Beeren</t>
  </si>
  <si>
    <t>Fläche Erdbeeren</t>
  </si>
  <si>
    <t>Obst Fläche Summe</t>
  </si>
  <si>
    <t>Fl. Apfel Junganl.</t>
  </si>
  <si>
    <t>Ertrag Apfel</t>
  </si>
  <si>
    <t xml:space="preserve">Anzahl Kunden </t>
  </si>
  <si>
    <t>Bonsumme je Kunde</t>
  </si>
  <si>
    <t>Gala Ertrag Summe</t>
  </si>
  <si>
    <t>Gala Aufträge Summe</t>
  </si>
  <si>
    <t>Fried Anz. AK Friedhof</t>
  </si>
  <si>
    <t>Fried Umsatz Friedhof</t>
  </si>
  <si>
    <t>Fried Umsatz Verwaltung</t>
  </si>
  <si>
    <t>Fried Anz. Pflgegänge</t>
  </si>
  <si>
    <t>Fried Pflege Subuntern</t>
  </si>
  <si>
    <t>Fried Anz. Giessgänge</t>
  </si>
  <si>
    <t>Fried Giess Subuntern</t>
  </si>
  <si>
    <t>Fried Preis pro Giessg</t>
  </si>
  <si>
    <t>Fried Stundenverr.satz</t>
  </si>
  <si>
    <t>Fried Anz P Reihe Erde</t>
  </si>
  <si>
    <t>Fried Anz P Wahl Erde</t>
  </si>
  <si>
    <t>Fried Anz P Reih Urne</t>
  </si>
  <si>
    <t>Fried Anz P Wahl Urne</t>
  </si>
  <si>
    <t>Fried Stl P ReihErde</t>
  </si>
  <si>
    <t>Fried Stl P WahlErde</t>
  </si>
  <si>
    <t>Fried Stl P ReihUrne</t>
  </si>
  <si>
    <t>Fried Stl P WahlUrne</t>
  </si>
  <si>
    <t>Fried Anz D ReihErde</t>
  </si>
  <si>
    <t>Fried Anz D WahlErde</t>
  </si>
  <si>
    <t>Fried Anz D ReihUrne</t>
  </si>
  <si>
    <t>Fried Anz D WahlUrne</t>
  </si>
  <si>
    <t>Fried Stl D ReihErde</t>
  </si>
  <si>
    <t>Fried Stl D WahlErde</t>
  </si>
  <si>
    <t>Fried Stl D ReihUrne</t>
  </si>
  <si>
    <t>Fried Stl D WahlUrne</t>
  </si>
  <si>
    <t>Fried Anz N ReihErde</t>
  </si>
  <si>
    <t>Fried Anz N WahlErde</t>
  </si>
  <si>
    <t>Fried Anz N ReihUrne</t>
  </si>
  <si>
    <t>Fried Anz N WahlUrne</t>
  </si>
  <si>
    <t>Fried Stl N ReihErde</t>
  </si>
  <si>
    <t>Fried Stl N WahlErde</t>
  </si>
  <si>
    <t>Fried Stl N ReihUrne</t>
  </si>
  <si>
    <t>Fried Stl N WahlUrne</t>
  </si>
  <si>
    <t>Fried ReihErde 1ST mWB</t>
  </si>
  <si>
    <t>Fried ReihErde 1ST oWB</t>
  </si>
  <si>
    <t>Fried WahlErde 1ST mWB</t>
  </si>
  <si>
    <t>Fried WahlErde 1ST oWB</t>
  </si>
  <si>
    <t>Fried ReihUrne 1ST mWB</t>
  </si>
  <si>
    <t>Fried ReihUrne 1ST oWB</t>
  </si>
  <si>
    <t>Fried WahlUrne 1ST mWB</t>
  </si>
  <si>
    <t>Fried WahlUrne 1ST oWB</t>
  </si>
  <si>
    <t>Fried ReihErde 2ST mWB</t>
  </si>
  <si>
    <t>Fried ReihErde 2ST oWB</t>
  </si>
  <si>
    <t>Fried WahlErde 2ST mWB</t>
  </si>
  <si>
    <t>Fried WahlErde 2ST oWB</t>
  </si>
  <si>
    <t>Fried ReihUrne 2ST mWB</t>
  </si>
  <si>
    <t>Fried ReihUrne 2ST oWB</t>
  </si>
  <si>
    <t>Fried WahlUrne 2ST mWB</t>
  </si>
  <si>
    <t>Fried WahlUrne 2ST oWB</t>
  </si>
  <si>
    <t>Gala Baustellenstund.</t>
  </si>
  <si>
    <t>Stundenverrechn.satz</t>
  </si>
  <si>
    <t>Aufschlag Materialkosten</t>
  </si>
  <si>
    <t>Aufschlag Subunternehmer</t>
  </si>
  <si>
    <t>GaLa Ertrag Neuanlage</t>
  </si>
  <si>
    <t>Gala Ertrag Pflege</t>
  </si>
  <si>
    <t>Gala Ertrag Umgestaltung</t>
  </si>
  <si>
    <t>Gala Aufträge Neuanlage</t>
  </si>
  <si>
    <t>Gala Aufträge Pflege</t>
  </si>
  <si>
    <t>Gala Aufträge Umgestaltung</t>
  </si>
  <si>
    <t>Heizmittel</t>
  </si>
  <si>
    <t xml:space="preserve">Raum Ertrag_Pflege </t>
  </si>
  <si>
    <t xml:space="preserve">Raum Ertrag_Neuanlage </t>
  </si>
  <si>
    <t xml:space="preserve">Raum Ertrag_Pflanzen </t>
  </si>
  <si>
    <t xml:space="preserve">Raum Aufwand_Gefaesse </t>
  </si>
  <si>
    <t xml:space="preserve">Raum Aufwand_Substrate </t>
  </si>
  <si>
    <t xml:space="preserve">Raum Aufwand_Sonstiges </t>
  </si>
  <si>
    <t xml:space="preserve">Raum Pers_Stundensatz </t>
  </si>
  <si>
    <t xml:space="preserve">Raum Pers_Lohnaufwand </t>
  </si>
  <si>
    <t xml:space="preserve">Raum Pers_ProduktivStunden </t>
  </si>
  <si>
    <t xml:space="preserve">Raum Pers_Ruestzeiten </t>
  </si>
  <si>
    <t xml:space="preserve">Raum Pers_Ausbild_Anz1 </t>
  </si>
  <si>
    <t xml:space="preserve">Raum Pers_Ausbild_Anz2 </t>
  </si>
  <si>
    <t xml:space="preserve">Raum Pers_Ausbild_Anz3 </t>
  </si>
  <si>
    <t xml:space="preserve">Raum Pers_Ausbild_Anz4 </t>
  </si>
  <si>
    <t xml:space="preserve">Raum Pers_Ausbild_Anz5 </t>
  </si>
  <si>
    <t xml:space="preserve">Raum Pers_Ausbild_Anz6 </t>
  </si>
  <si>
    <t xml:space="preserve">Raum Pflege_Anz1 </t>
  </si>
  <si>
    <t xml:space="preserve">Raum Pflege_Anz2 </t>
  </si>
  <si>
    <t xml:space="preserve">Raum Pflege_Anz3 </t>
  </si>
  <si>
    <t xml:space="preserve">Raum Pflege_Art1 </t>
  </si>
  <si>
    <t xml:space="preserve">Raum Pflege_Art2 </t>
  </si>
  <si>
    <t xml:space="preserve">Raum Pflege_Art3 </t>
  </si>
  <si>
    <t xml:space="preserve">Raum Pflege_Art4 </t>
  </si>
  <si>
    <t xml:space="preserve">Raum Pflege_Turnus_Anz2W </t>
  </si>
  <si>
    <t xml:space="preserve">Raum Pflege_Turnus_Anz3W </t>
  </si>
  <si>
    <t xml:space="preserve">Raum Pflege_Turnus_Anz4W </t>
  </si>
  <si>
    <t xml:space="preserve">Raum Pflege_Turnus_Anz5W </t>
  </si>
  <si>
    <t xml:space="preserve">Raum Pflege_Turnus_Anz3M </t>
  </si>
  <si>
    <t xml:space="preserve">Raum Pflege_Turnus_Anz6M </t>
  </si>
  <si>
    <t xml:space="preserve">Raum Pflege_Turnus_Anz12M </t>
  </si>
  <si>
    <t xml:space="preserve">Raum Pflege_Turnus_AnzSonst </t>
  </si>
  <si>
    <t xml:space="preserve">Raum Pflege_Turnus_Preis2W </t>
  </si>
  <si>
    <t xml:space="preserve">Raum Pflege_Turnus_Preis3W </t>
  </si>
  <si>
    <t xml:space="preserve">Raum Pflege_Turnus_Preis4W </t>
  </si>
  <si>
    <t xml:space="preserve">Raum Pflege_Turnus_Preis5W </t>
  </si>
  <si>
    <t xml:space="preserve">Raum Pflege_Turnus_Preis3M </t>
  </si>
  <si>
    <t xml:space="preserve">Raum Pflege_Turnus_Preis6M </t>
  </si>
  <si>
    <t xml:space="preserve">Raum Pflege_Turnus_Preis12M </t>
  </si>
  <si>
    <t xml:space="preserve">Raum Pflege_Turnus_PreisSonst </t>
  </si>
  <si>
    <t xml:space="preserve">Raum Pflege_Turnus_NachAufwand </t>
  </si>
  <si>
    <t xml:space="preserve">Raum Kunden_Anteil1 </t>
  </si>
  <si>
    <t xml:space="preserve">Raum Kunden_Anteil2 </t>
  </si>
  <si>
    <t xml:space="preserve">Raum Kunden_Anteil3 </t>
  </si>
  <si>
    <t xml:space="preserve">Raum Radius </t>
  </si>
  <si>
    <t xml:space="preserve">Raum Umsatz_Anteil1 </t>
  </si>
  <si>
    <t xml:space="preserve">Raum Umsatz_Anteil2 </t>
  </si>
  <si>
    <t xml:space="preserve">Raum Umsatz_Anteil3 </t>
  </si>
  <si>
    <t xml:space="preserve">Raum DL_Messe </t>
  </si>
  <si>
    <t xml:space="preserve">Raum Dienst_Deko </t>
  </si>
  <si>
    <t xml:space="preserve">Raum Dienst_Winter </t>
  </si>
  <si>
    <t>Raum Dienst_Tanne</t>
  </si>
  <si>
    <t xml:space="preserve">Raum DL_Schmueck </t>
  </si>
  <si>
    <t xml:space="preserve">Raum DL_ShowRoom </t>
  </si>
  <si>
    <t xml:space="preserve">Raum DL_LeihPflanzen </t>
  </si>
  <si>
    <t>Formelname</t>
  </si>
  <si>
    <t xml:space="preserve">Formel-Nr. </t>
  </si>
  <si>
    <t>Index:</t>
  </si>
  <si>
    <t>Formel-Nr.:</t>
  </si>
  <si>
    <t>Suche</t>
  </si>
  <si>
    <t>i315+i324</t>
  </si>
  <si>
    <t>Eigentumsfläche in ha</t>
  </si>
  <si>
    <t>Fläche Freiland-Produktion in ha</t>
  </si>
  <si>
    <t>Ackerfläche</t>
  </si>
  <si>
    <t>Zierpflanzen, Schnittblumen, Floristik</t>
  </si>
  <si>
    <t>Obst / Gemüse</t>
  </si>
  <si>
    <t>Kranzbinderei</t>
  </si>
  <si>
    <t>Ertrag Zierpflanzen Zusatz Topfpflanzen</t>
  </si>
  <si>
    <t xml:space="preserve">Ertrag Zierpflanzen Schnittblumen Freiland </t>
  </si>
  <si>
    <t>Ertrag Zierpflanzen Schnittblumen Unterglas</t>
  </si>
  <si>
    <t xml:space="preserve">Ertrag Grünpflanzen </t>
  </si>
  <si>
    <t xml:space="preserve">Ertrag Cycl.+T-Chry.+Hort.+Ochide.+Sonstige </t>
  </si>
  <si>
    <t xml:space="preserve">Ertrag B&amp;B außerhalb der Frühjahrssaison </t>
  </si>
  <si>
    <t>Ertrag Rosen im Freiland</t>
  </si>
  <si>
    <t>Ertrag Rosen unter Glas</t>
  </si>
  <si>
    <t xml:space="preserve">Ertrag Eriken </t>
  </si>
  <si>
    <t xml:space="preserve">Ertrag sonstiger Azerca Kulturen + Calluna </t>
  </si>
  <si>
    <t>Ertrag Eriken + Calluna</t>
  </si>
  <si>
    <t xml:space="preserve">Ertrag Erica c. + Gaultheria + sonstige Azerca Kulturen </t>
  </si>
  <si>
    <t>Ertrag Azaleen</t>
  </si>
  <si>
    <t>Ertrag Azerca</t>
  </si>
  <si>
    <t>Ertrag Callunen</t>
  </si>
  <si>
    <t>Ertrag Eriken+Callunen</t>
  </si>
  <si>
    <t>Ertrag sonst. AZERCA</t>
  </si>
  <si>
    <t>Ertrag Zierpflanzen außer Azerka</t>
  </si>
  <si>
    <t>Unternehmensaufwand (steuerlich)</t>
  </si>
  <si>
    <t xml:space="preserve">Unternehmensaufwand </t>
  </si>
  <si>
    <t>kalkulatorisches Vermögen 5500</t>
  </si>
  <si>
    <t xml:space="preserve">Betriebsergebnis </t>
  </si>
  <si>
    <t>EBIT</t>
  </si>
  <si>
    <t>Arbeitskräfte Direktabsatz entlohnt</t>
  </si>
  <si>
    <t>Arbeitskräfte Eigenproduktion entlohnt</t>
  </si>
  <si>
    <t>F1001</t>
  </si>
  <si>
    <t>F1002</t>
  </si>
  <si>
    <t>F1003</t>
  </si>
  <si>
    <t>F1110</t>
  </si>
  <si>
    <t>F1111</t>
  </si>
  <si>
    <t>F1112</t>
  </si>
  <si>
    <t>F1113</t>
  </si>
  <si>
    <t>F1211</t>
  </si>
  <si>
    <t>F1212</t>
  </si>
  <si>
    <t>F1213</t>
  </si>
  <si>
    <t>F2001</t>
  </si>
  <si>
    <t>F2101</t>
  </si>
  <si>
    <t>F2120</t>
  </si>
  <si>
    <t>F2201</t>
  </si>
  <si>
    <t>F2301</t>
  </si>
  <si>
    <t>F2420</t>
  </si>
  <si>
    <t>F2421</t>
  </si>
  <si>
    <t>F2430</t>
  </si>
  <si>
    <t>F2431</t>
  </si>
  <si>
    <t>F2501</t>
  </si>
  <si>
    <t>F2601</t>
  </si>
  <si>
    <t>F2631</t>
  </si>
  <si>
    <t>F3001</t>
  </si>
  <si>
    <t>F3021</t>
  </si>
  <si>
    <t>F3022</t>
  </si>
  <si>
    <t>F3023</t>
  </si>
  <si>
    <t>F3101</t>
  </si>
  <si>
    <t>F3151</t>
  </si>
  <si>
    <t>F3152</t>
  </si>
  <si>
    <t>F3153</t>
  </si>
  <si>
    <t>F3154</t>
  </si>
  <si>
    <t>F3262</t>
  </si>
  <si>
    <t>F3263</t>
  </si>
  <si>
    <t>F3264</t>
  </si>
  <si>
    <t>F3265</t>
  </si>
  <si>
    <t>F3310</t>
  </si>
  <si>
    <t>F3320</t>
  </si>
  <si>
    <t>F3330</t>
  </si>
  <si>
    <t>F3340</t>
  </si>
  <si>
    <t>F3350</t>
  </si>
  <si>
    <t>F3360</t>
  </si>
  <si>
    <t>F3370</t>
  </si>
  <si>
    <t>F3411</t>
  </si>
  <si>
    <t>F3412</t>
  </si>
  <si>
    <t>F3413</t>
  </si>
  <si>
    <t>F3414</t>
  </si>
  <si>
    <t>F3415</t>
  </si>
  <si>
    <t>F3421</t>
  </si>
  <si>
    <t>F3422</t>
  </si>
  <si>
    <t>F3431</t>
  </si>
  <si>
    <t>F3432</t>
  </si>
  <si>
    <t>F3433</t>
  </si>
  <si>
    <t>F3434</t>
  </si>
  <si>
    <t>F4001</t>
  </si>
  <si>
    <t>F4031</t>
  </si>
  <si>
    <t>F4032</t>
  </si>
  <si>
    <t>F4033</t>
  </si>
  <si>
    <t>F4034</t>
  </si>
  <si>
    <t>F4035</t>
  </si>
  <si>
    <t>F4101</t>
  </si>
  <si>
    <t>F4621</t>
  </si>
  <si>
    <t>F4622</t>
  </si>
  <si>
    <t>F4623</t>
  </si>
  <si>
    <t>F4624</t>
  </si>
  <si>
    <t>F4625</t>
  </si>
  <si>
    <t>F4626</t>
  </si>
  <si>
    <t>F4627</t>
  </si>
  <si>
    <t>F4628</t>
  </si>
  <si>
    <t>F4629</t>
  </si>
  <si>
    <t>F4631</t>
  </si>
  <si>
    <t>F4632</t>
  </si>
  <si>
    <t>F4633</t>
  </si>
  <si>
    <t>F4634</t>
  </si>
  <si>
    <t>F4635</t>
  </si>
  <si>
    <t>F4636</t>
  </si>
  <si>
    <t>F4637</t>
  </si>
  <si>
    <t>F4638</t>
  </si>
  <si>
    <t>F4639</t>
  </si>
  <si>
    <t>F5131</t>
  </si>
  <si>
    <t>F5330</t>
  </si>
  <si>
    <t>F5331</t>
  </si>
  <si>
    <t>F5332</t>
  </si>
  <si>
    <t>F5333</t>
  </si>
  <si>
    <t>F5334</t>
  </si>
  <si>
    <t>F5335</t>
  </si>
  <si>
    <t>F5401</t>
  </si>
  <si>
    <t>F5411</t>
  </si>
  <si>
    <t>F5412</t>
  </si>
  <si>
    <t>F5413</t>
  </si>
  <si>
    <t>F5414</t>
  </si>
  <si>
    <t>F5415</t>
  </si>
  <si>
    <t>F5416</t>
  </si>
  <si>
    <t>F5421</t>
  </si>
  <si>
    <t>F5422</t>
  </si>
  <si>
    <t>F5530</t>
  </si>
  <si>
    <t>F5540</t>
  </si>
  <si>
    <t>F5550</t>
  </si>
  <si>
    <t>F5560</t>
  </si>
  <si>
    <t>F6220</t>
  </si>
  <si>
    <t>F6221</t>
  </si>
  <si>
    <t>F6222</t>
  </si>
  <si>
    <t>F9210</t>
  </si>
  <si>
    <t>F9220</t>
  </si>
  <si>
    <t>F9230</t>
  </si>
  <si>
    <t>F9335</t>
  </si>
  <si>
    <t>F9345</t>
  </si>
  <si>
    <t>F9355</t>
  </si>
  <si>
    <t>F9545</t>
  </si>
  <si>
    <t>F9640</t>
  </si>
  <si>
    <t>F9650</t>
  </si>
  <si>
    <t>F9660</t>
  </si>
  <si>
    <t>F9670</t>
  </si>
  <si>
    <t>F9680</t>
  </si>
  <si>
    <t>Klassifikation Betrieb</t>
  </si>
  <si>
    <t>Zierpflanzenbaubetriebe</t>
  </si>
  <si>
    <t>Gemüsebaubetriebe (Unterglas)</t>
  </si>
  <si>
    <t>Gemüsebaubetriebe (Freiland)</t>
  </si>
  <si>
    <t>Baumschulbetriebe</t>
  </si>
  <si>
    <t>Obstbaubetriebe</t>
  </si>
  <si>
    <t>Mehrspartenbetriebe</t>
  </si>
  <si>
    <t>Handels- und Dienstleistungsbetriebe</t>
  </si>
  <si>
    <t>Einzelhandelsgärtnerei</t>
  </si>
  <si>
    <t>Überblick</t>
  </si>
  <si>
    <t>1.</t>
  </si>
  <si>
    <t>2.</t>
  </si>
  <si>
    <t>+</t>
  </si>
  <si>
    <t>sonstige betriebliche Erträge</t>
  </si>
  <si>
    <t>3.</t>
  </si>
  <si>
    <t>=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</si>
  <si>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</si>
  <si>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</si>
  <si>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</si>
  <si>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</si>
  <si>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</si>
  <si>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</si>
  <si>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</si>
  <si>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</si>
  <si>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</si>
  <si>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</si>
  <si>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</si>
  <si>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16.</t>
  </si>
  <si>
    <t>18.</t>
  </si>
  <si>
    <t>19.</t>
  </si>
  <si>
    <t>20.</t>
  </si>
  <si>
    <t>21.</t>
  </si>
  <si>
    <t>22.</t>
  </si>
  <si>
    <t>Vermögen und Kapital</t>
  </si>
  <si>
    <t>23.</t>
  </si>
  <si>
    <t>Vermögen laut Bilanz</t>
  </si>
  <si>
    <t>24.</t>
  </si>
  <si>
    <t>Kalkulatorisches Vermögen (V)</t>
  </si>
  <si>
    <t xml:space="preserve">25. </t>
  </si>
  <si>
    <t>Bodenvermögen in % des V</t>
  </si>
  <si>
    <t xml:space="preserve">26. </t>
  </si>
  <si>
    <t>Anlageverm. ohne Boden in % des V</t>
  </si>
  <si>
    <t>27.</t>
  </si>
  <si>
    <t>Umlaufvermögen in % des V</t>
  </si>
  <si>
    <t>28.</t>
  </si>
  <si>
    <t>Fremdkapital (FK)</t>
  </si>
  <si>
    <t>29.</t>
  </si>
  <si>
    <t>Fremdkapital in % des V</t>
  </si>
  <si>
    <t>30.</t>
  </si>
  <si>
    <t>Kurzfristiges Fremdkapital in % FK</t>
  </si>
  <si>
    <t>31.</t>
  </si>
  <si>
    <t>Jahre</t>
  </si>
  <si>
    <t>32.</t>
  </si>
  <si>
    <t>Vermögen (V) je AK</t>
  </si>
  <si>
    <t>33.</t>
  </si>
  <si>
    <t>34.</t>
  </si>
  <si>
    <t>Maschinen und Fuhrpark je AK</t>
  </si>
  <si>
    <t>35.</t>
  </si>
  <si>
    <t>Investitionstätigkeit</t>
  </si>
  <si>
    <t>36.</t>
  </si>
  <si>
    <t>Bruttoinvestitionen je AK</t>
  </si>
  <si>
    <t>37.</t>
  </si>
  <si>
    <t>Nettoinvestitionen je AK</t>
  </si>
  <si>
    <t>38.</t>
  </si>
  <si>
    <t>Betriebsertrag (BE)</t>
  </si>
  <si>
    <t>39.</t>
  </si>
  <si>
    <t>40.</t>
  </si>
  <si>
    <t>Ertrag Eigenproduktion in %BE</t>
  </si>
  <si>
    <t>%BE</t>
  </si>
  <si>
    <t>41.</t>
  </si>
  <si>
    <t>Ertrag Handelsware in %BE</t>
  </si>
  <si>
    <t>42.</t>
  </si>
  <si>
    <t>Ertrag Dienstleistung in %BE</t>
  </si>
  <si>
    <t>43.</t>
  </si>
  <si>
    <t>Sonstiger Betriebsertrag in %BE</t>
  </si>
  <si>
    <t>44.</t>
  </si>
  <si>
    <t>45.</t>
  </si>
  <si>
    <t>46.</t>
  </si>
  <si>
    <t>Aufwandsstruktur</t>
  </si>
  <si>
    <t>47.</t>
  </si>
  <si>
    <t>Spezialaufw. Eigenproduktion in %BE</t>
  </si>
  <si>
    <t>48.</t>
  </si>
  <si>
    <t>Saat- und Pflanzgut in %BE</t>
  </si>
  <si>
    <t>49.</t>
  </si>
  <si>
    <t>Dünger + Pflanzenschutz in %BE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</si>
  <si>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</si>
  <si>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</si>
  <si>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</si>
  <si>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</si>
  <si>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</si>
  <si>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</si>
  <si>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</si>
  <si>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</si>
  <si>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</si>
  <si>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</si>
  <si>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</si>
  <si>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</si>
  <si>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</si>
  <si>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</si>
  <si>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</si>
  <si>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66.</t>
  </si>
  <si>
    <t>67.</t>
  </si>
  <si>
    <t>68.</t>
  </si>
  <si>
    <t>70.</t>
  </si>
  <si>
    <t>% BE</t>
  </si>
  <si>
    <t>71.</t>
  </si>
  <si>
    <t>72.</t>
  </si>
  <si>
    <t>73.</t>
  </si>
  <si>
    <t>75.</t>
  </si>
  <si>
    <t>76.</t>
  </si>
  <si>
    <t>77.</t>
  </si>
  <si>
    <t>79.</t>
  </si>
  <si>
    <t>80.</t>
  </si>
  <si>
    <t>81.</t>
  </si>
  <si>
    <t>Kapitalproduktivität und Rentabilität</t>
  </si>
  <si>
    <t>82.</t>
  </si>
  <si>
    <t>83.</t>
  </si>
  <si>
    <t>Wertschöpfungskoeffizient</t>
  </si>
  <si>
    <t>84.</t>
  </si>
  <si>
    <t>AfA Fuhrpark u. Maschinen</t>
  </si>
  <si>
    <t>AfA Fuhrpark und Maschinen</t>
  </si>
  <si>
    <t>F4641</t>
  </si>
  <si>
    <t>Cash Flow II</t>
  </si>
  <si>
    <t>Aufbau der Kennzahlensystematik</t>
  </si>
  <si>
    <t>Es ist schnell ersichtlich, um welche Bezugsgröße es sich bei den relativen Kennzahlen handelt</t>
  </si>
  <si>
    <t>Landwirtschaftliche Fläche (+GG)</t>
  </si>
  <si>
    <t>(i303+i311+i315+i316)</t>
  </si>
  <si>
    <t xml:space="preserve">Betriebsertrag Freiland </t>
  </si>
  <si>
    <t>Betriebsertrag Freiland</t>
  </si>
  <si>
    <t>Ertrag Obstbaubau</t>
  </si>
  <si>
    <t>Familien AK</t>
  </si>
  <si>
    <t>Ertrag Beerenobst</t>
  </si>
  <si>
    <t xml:space="preserve">Ertrag sonstiges Kernobst </t>
  </si>
  <si>
    <t>Ertrag sonstiges Steinobst</t>
  </si>
  <si>
    <t>Ertag Äpfel</t>
  </si>
  <si>
    <t xml:space="preserve"> i421+i422+i423+i424+i427+i428</t>
  </si>
  <si>
    <t>Formelkennung:</t>
  </si>
  <si>
    <t>Die Formelkennung besteht aus einem vierstelligen Nummercode der für jede Formel (oder Index) einzigartig ist.</t>
  </si>
  <si>
    <t xml:space="preserve">Aufgegliedert sind diese in folgende Bereiche: </t>
  </si>
  <si>
    <t xml:space="preserve">Bezeichnungen: </t>
  </si>
  <si>
    <t>Formeln:</t>
  </si>
  <si>
    <t>werden definiert in dem die Formelkennung von der Bezugsgröße durch ein "_" getrennt wird</t>
  </si>
  <si>
    <t>Beispiel Betriebsertrag pro ha LF ergibt "F3100_F2600"</t>
  </si>
  <si>
    <t>Vorteil dieses Vorgehens: Es ist auf dem ersten Blick erkennbar, ob sich hinter einer Formelkennung eine relative oder absolute Kennzahl verbirgt</t>
  </si>
  <si>
    <t>Konstante</t>
  </si>
  <si>
    <t>2000 h</t>
  </si>
  <si>
    <t xml:space="preserve">Konstante </t>
  </si>
  <si>
    <t>Kennzahlentabelle:</t>
  </si>
  <si>
    <r>
      <t xml:space="preserve">Die Spalte </t>
    </r>
    <r>
      <rPr>
        <b/>
        <sz val="11"/>
        <color theme="1"/>
        <rFont val="Calibri"/>
        <family val="2"/>
        <scheme val="minor"/>
      </rPr>
      <t>Bezeichnung</t>
    </r>
    <r>
      <rPr>
        <sz val="11"/>
        <color theme="1"/>
        <rFont val="Calibri"/>
        <family val="2"/>
        <scheme val="minor"/>
      </rPr>
      <t xml:space="preserve"> dient als Bezeichnung der Formel, die Spalte </t>
    </r>
    <r>
      <rPr>
        <b/>
        <sz val="11"/>
        <color theme="1"/>
        <rFont val="Calibri"/>
        <family val="2"/>
        <scheme val="minor"/>
      </rPr>
      <t>Formelkennung</t>
    </r>
    <r>
      <rPr>
        <sz val="11"/>
        <color theme="1"/>
        <rFont val="Calibri"/>
        <family val="2"/>
        <scheme val="minor"/>
      </rPr>
      <t xml:space="preserve"> entspricht der Formelkennung wie sie in der internen Formelsammlung des ZBG genutzt wird. </t>
    </r>
  </si>
  <si>
    <r>
      <t xml:space="preserve">Die Spalte </t>
    </r>
    <r>
      <rPr>
        <b/>
        <sz val="11"/>
        <color theme="1"/>
        <rFont val="Calibri"/>
        <family val="2"/>
        <scheme val="minor"/>
      </rPr>
      <t>alternative Bezeichnung</t>
    </r>
    <r>
      <rPr>
        <sz val="11"/>
        <color theme="1"/>
        <rFont val="Calibri"/>
        <family val="2"/>
        <scheme val="minor"/>
      </rPr>
      <t xml:space="preserve"> lässt Platz für weitere Bezeichnungen oder Formelkennungen.</t>
    </r>
  </si>
  <si>
    <r>
      <t xml:space="preserve">Über ein </t>
    </r>
    <r>
      <rPr>
        <b/>
        <sz val="11"/>
        <color theme="1"/>
        <rFont val="Calibri"/>
        <family val="2"/>
        <scheme val="minor"/>
      </rPr>
      <t>Drop-Down-Feld</t>
    </r>
    <r>
      <rPr>
        <sz val="11"/>
        <color theme="1"/>
        <rFont val="Calibri"/>
        <family val="2"/>
        <scheme val="minor"/>
      </rPr>
      <t xml:space="preserve"> lassen sich verschiedene Sparten auswählen. </t>
    </r>
  </si>
  <si>
    <t xml:space="preserve">Suchfeld: </t>
  </si>
  <si>
    <r>
      <t xml:space="preserve">Zellen, die einen </t>
    </r>
    <r>
      <rPr>
        <b/>
        <sz val="11"/>
        <color theme="1"/>
        <rFont val="Calibri"/>
        <family val="2"/>
        <scheme val="minor"/>
      </rPr>
      <t>Rahmen</t>
    </r>
    <r>
      <rPr>
        <sz val="11"/>
        <color theme="1"/>
        <rFont val="Calibri"/>
        <family val="2"/>
        <scheme val="minor"/>
      </rPr>
      <t xml:space="preserve"> besitzen und </t>
    </r>
    <r>
      <rPr>
        <b/>
        <sz val="11"/>
        <color theme="1"/>
        <rFont val="Calibri"/>
        <family val="2"/>
        <scheme val="minor"/>
      </rPr>
      <t>grau hinterlegt</t>
    </r>
    <r>
      <rPr>
        <sz val="11"/>
        <color theme="1"/>
        <rFont val="Calibri"/>
        <family val="2"/>
        <scheme val="minor"/>
      </rPr>
      <t xml:space="preserve"> sind, besitzen ein Drop-Down-Feld. Hier können Kennzahlen ausgewählt werden um mögliche </t>
    </r>
    <r>
      <rPr>
        <b/>
        <sz val="11"/>
        <color theme="1"/>
        <rFont val="Calibri"/>
        <family val="2"/>
        <scheme val="minor"/>
      </rPr>
      <t>relative Kennzahlen</t>
    </r>
    <r>
      <rPr>
        <sz val="11"/>
        <color theme="1"/>
        <rFont val="Calibri"/>
        <family val="2"/>
        <scheme val="minor"/>
      </rPr>
      <t xml:space="preserve"> anzeigen zu lassen.</t>
    </r>
  </si>
  <si>
    <t xml:space="preserve">In dieser Spalte werden Indices aus dem "Erhebungsbogen" aufgeführt denen eine Formelkennung zugewiesen wird (für den Fall, dass relevante Relativkennzahlen vorliegen). </t>
  </si>
  <si>
    <t xml:space="preserve">Veränderung Anlagevermögen </t>
  </si>
  <si>
    <t>Verbindlichkeiten Banken</t>
  </si>
  <si>
    <t>i212+i213</t>
  </si>
  <si>
    <t>F6230</t>
  </si>
  <si>
    <t>i223-i224</t>
  </si>
  <si>
    <t>F6120</t>
  </si>
  <si>
    <t>Cash Flow II - Erweitert</t>
  </si>
  <si>
    <t>Cash-flowII_N - erweitert</t>
  </si>
  <si>
    <t>Liquidität_1</t>
  </si>
  <si>
    <t>(i174)/(i213+i214)</t>
  </si>
  <si>
    <t>Privatanteile</t>
  </si>
  <si>
    <t>F3155</t>
  </si>
  <si>
    <t>Finanzaufwendungen</t>
  </si>
  <si>
    <t>F4036</t>
  </si>
  <si>
    <t>Gesamtkapitalrentabilität</t>
  </si>
  <si>
    <t>sonstige Betriebliche Erträge</t>
  </si>
  <si>
    <t>sonstige betriebliche Aufwendungen (ohne Abschreibung)</t>
  </si>
  <si>
    <t>F4131</t>
  </si>
  <si>
    <t xml:space="preserve">sonst. betrieb. Aufwend. ohne AfA </t>
  </si>
  <si>
    <t xml:space="preserve">Bereinigtes Betriebsergebnis </t>
  </si>
  <si>
    <t>EBITDA</t>
  </si>
  <si>
    <t>Cashflow</t>
  </si>
  <si>
    <t>Cashflow Erweitert</t>
  </si>
  <si>
    <t>Cashflow II</t>
  </si>
  <si>
    <t>Cashflow II Erweitert</t>
  </si>
  <si>
    <t>Glasfläche in ha</t>
  </si>
  <si>
    <t>(i501+i502)/1000</t>
  </si>
  <si>
    <t>F2401</t>
  </si>
  <si>
    <t>Arbeitskräfte insgesamt</t>
  </si>
  <si>
    <t>Eigenkapitalanteil lt. Bilanz</t>
  </si>
  <si>
    <t>Summe Arbeitskräfte</t>
  </si>
  <si>
    <t>Gewächshausfläche</t>
  </si>
  <si>
    <t>Kalkulatorisches Vermögen (kV)</t>
  </si>
  <si>
    <t>i351+i358+i346+i348</t>
  </si>
  <si>
    <t>F3040</t>
  </si>
  <si>
    <t>Zins- und Pachtansatz</t>
  </si>
  <si>
    <t>F4721</t>
  </si>
  <si>
    <t>F4722</t>
  </si>
  <si>
    <t>F4731</t>
  </si>
  <si>
    <t>Arbeitsertrag</t>
  </si>
  <si>
    <t>Fremdleistungen</t>
  </si>
  <si>
    <t xml:space="preserve">Zins kalk Vermögen (betriebl.)_N in % BE </t>
  </si>
  <si>
    <t>Dünger und Pflanzenschutzmittel</t>
  </si>
  <si>
    <t>Flächen Eigenproduktion oder LW-Fläche</t>
  </si>
  <si>
    <t>Fandwirtschaftliche Fläche in ha</t>
  </si>
  <si>
    <t>Fläche Eigenproduktion in ha oder LW-Fläche in ha</t>
  </si>
  <si>
    <t xml:space="preserve">Der Index 451 (Zinsaufwand) wurde als Formel hinterlegt. </t>
  </si>
  <si>
    <t>Alt</t>
  </si>
  <si>
    <t>Neu</t>
  </si>
  <si>
    <t>Zinsaufwendungen</t>
  </si>
  <si>
    <t>F4140+i420</t>
  </si>
  <si>
    <t xml:space="preserve">Die Formel 4032 wurde umbenannt von "Zinsaufwand" zu "Finanzaufwendungen". Auch die alternative Bezeichnung "Zinsaufwand" wurde gelöscht. </t>
  </si>
  <si>
    <t>08.08.2024 Änderungen in Version 1.1:</t>
  </si>
  <si>
    <t>F4310+F4340</t>
  </si>
  <si>
    <t xml:space="preserve">Die mit der Fachkommission als nicht benötigten Cashflows wurde aus der Kennzahlensystematik gelöscht: </t>
  </si>
  <si>
    <t>Gelöscht</t>
  </si>
  <si>
    <t>Netto Cash Flow</t>
  </si>
  <si>
    <t>F9440+i224+i223</t>
  </si>
  <si>
    <t>Cash Flow Korrektur</t>
  </si>
  <si>
    <t>i445-i344-i342</t>
  </si>
  <si>
    <t>Cash Flow Rate</t>
  </si>
  <si>
    <t>(F9440/F3000)*!100</t>
  </si>
  <si>
    <t>Netto Cash Flow BB</t>
  </si>
  <si>
    <t>BB_B_NettoCashFlow</t>
  </si>
  <si>
    <t>(i456-i349)+i442-F9140</t>
  </si>
  <si>
    <t>Netto Cash Flow BB erweitert</t>
  </si>
  <si>
    <t>BB_B_NettoCashFlowerweitert</t>
  </si>
  <si>
    <t>(456-349)+442+F4033-F9140</t>
  </si>
  <si>
    <t>Betriebsergebnis</t>
  </si>
  <si>
    <t>EBITA</t>
  </si>
  <si>
    <t>F3100-F4100+i442</t>
  </si>
  <si>
    <t>F9210+F4625</t>
  </si>
  <si>
    <t>(F9020/F5000)*!100</t>
  </si>
  <si>
    <t>F4130-F4625</t>
  </si>
  <si>
    <t>F9020+F4620-i344-i380+i445-i342</t>
  </si>
  <si>
    <t>F9400+i451</t>
  </si>
  <si>
    <t>F9400+i223+i224</t>
  </si>
  <si>
    <t>F9420+i451</t>
  </si>
  <si>
    <t xml:space="preserve">Die Bezeichnung der Cashflows wurde auf eine neue einheitliche Rechtschreibung angepasst. Zusätzlich wurde die Formel 9410 Cash Flow_N - Erweitert umbenannt in Cashflow Erweitert. </t>
  </si>
  <si>
    <t>Die Formelnummer 4034 auf 4035 geändert.</t>
  </si>
  <si>
    <t>Die Formelnummer 4035 auf 4036 geändert.</t>
  </si>
  <si>
    <t xml:space="preserve">Die Formel 9220 wurde ersetzt durch die Kennzahl bereinigtes Betriebsergebnis. </t>
  </si>
  <si>
    <t>Die Formel 9735 wurde umbenannt in Gesamtkapitalrentabilität</t>
  </si>
  <si>
    <t xml:space="preserve">Die Formel 4131  wurde neu in die Kennzahlensystematik aufgenommen. </t>
  </si>
  <si>
    <t>Die Formel 3151 wurde umbenannt in Bestandsmehrung.</t>
  </si>
  <si>
    <t xml:space="preserve">Die Formel 2401 wurde neu in die Kennzahlensystematik aufgenommen. </t>
  </si>
  <si>
    <t>F1210+F1100+F1320</t>
  </si>
  <si>
    <t>Die Formel 2400 wurde um eine alternative Bezeichnung ergänzt.</t>
  </si>
  <si>
    <t>F5220+F5520+F5510</t>
  </si>
  <si>
    <t xml:space="preserve">Die Formel 5130 wurde um eine alternative Bezeichnung erweitert. </t>
  </si>
  <si>
    <t>F2100*F5920</t>
  </si>
  <si>
    <t xml:space="preserve">Die Formel 5520 wurde um eine alternative Bezeichnung erweitert. </t>
  </si>
  <si>
    <t xml:space="preserve">Die Formel 6400 wurde um eine alternative Bezeichnung erweitert. </t>
  </si>
  <si>
    <t xml:space="preserve">Die Formel 3040 wurde neu in die Kennzahlensystematik aufgenommen. </t>
  </si>
  <si>
    <t xml:space="preserve">Die Formel Zins- und Pachtansatz wurde als neue Formelnummer 4720 fesgelegt. </t>
  </si>
  <si>
    <t>F5530*F5910/!2</t>
  </si>
  <si>
    <t>F2110*F5920*F4920</t>
  </si>
  <si>
    <t>Die Formelnummer 4730 wurde auf 4722 geändert  und es wurde eine Formelkennung hinzugefügt.</t>
  </si>
  <si>
    <t>(F5220+F5510)*F5910</t>
  </si>
  <si>
    <t>F4721+F4722</t>
  </si>
  <si>
    <t xml:space="preserve">Die Formelnummer 4740 wurde auf 4730 geändert. </t>
  </si>
  <si>
    <t xml:space="preserve">Die Formelnummer 4741 wurde auf 4731 geändert. </t>
  </si>
  <si>
    <t>(F4711+F4500+F3020+F4020+F6910)/F4731</t>
  </si>
  <si>
    <t>F1000*!1450</t>
  </si>
  <si>
    <t>(F4711+F4500+F3020+F4020+F6910)/F4741</t>
  </si>
  <si>
    <t>F9320-F5550</t>
  </si>
  <si>
    <t xml:space="preserve">Die Formel 9721 wurde um eine alternative Bezeichnung erweitert. </t>
  </si>
  <si>
    <t>Die Formelnummer 4720 wurde auf 4721 geändert und es wurde eine Formelkennung hinzugefügt. Zusätzlich wurde die Formel korrigiert.</t>
  </si>
  <si>
    <t xml:space="preserve">Die Formel 4375 wurde um eine alternative Bezeichnung erweitert. </t>
  </si>
  <si>
    <t xml:space="preserve">Die Formel 2301 wurde um eine alternative Bezeichnung und eine weitere Formelkennung erweitert. </t>
  </si>
  <si>
    <t>i501+i502+i503+i504+i505+i506+F2600</t>
  </si>
  <si>
    <t xml:space="preserve">Die Formel 2300 wurde um eine alternative Bezeichnung und eine weitere Formelkennung erweitert. </t>
  </si>
  <si>
    <t>F2300/!10000</t>
  </si>
  <si>
    <t>Ertrag Erdbeeren</t>
  </si>
  <si>
    <t>11.09.2024 Änderungen in Version 1.2:</t>
  </si>
  <si>
    <t xml:space="preserve">Die Formel 3555 wurde neu in die Kennzahlensystematik aufgenommen </t>
  </si>
  <si>
    <t>Für die Formel 2501 wurde eine Berechnung hinterlegt!</t>
  </si>
  <si>
    <t>Containerfläche in ha</t>
  </si>
  <si>
    <t>Die Fromel 2571 wurde neu in die Kennzahlensystematik aufgenommen</t>
  </si>
  <si>
    <t>F2570/!10000</t>
  </si>
  <si>
    <t>F2571</t>
  </si>
  <si>
    <t>Freilandfläche (mit Landwirschaft) in ha</t>
  </si>
  <si>
    <t>Fläche Freiland gewachsen ha</t>
  </si>
  <si>
    <t xml:space="preserve">Die Formel 2511 wurde neu in die Kennzahlensystematik aufgenommen </t>
  </si>
  <si>
    <t>F2510/!10000</t>
  </si>
  <si>
    <t>F2511</t>
  </si>
  <si>
    <t>Name geändert Formel F3310</t>
  </si>
  <si>
    <t>F3320+F3250</t>
  </si>
  <si>
    <t>i433+i434+i435+i436+i444+i481+i482</t>
  </si>
  <si>
    <t xml:space="preserve">Die Formel 4517 wurde neu in die Kennzahlensystematik aufgenommen </t>
  </si>
  <si>
    <t>Aufwand Furhpark und Maschinen</t>
  </si>
  <si>
    <t xml:space="preserve">Die Nummerierung folgender Kennzahlen wurde angepasst: </t>
  </si>
  <si>
    <t>F4525</t>
  </si>
  <si>
    <t>Hartware (mit Floristik)</t>
  </si>
  <si>
    <t>i416+i417</t>
  </si>
  <si>
    <t>F4364</t>
  </si>
  <si>
    <t xml:space="preserve">Ertrag Zierpflanzen Zusatz gesamt </t>
  </si>
  <si>
    <t>Entlohnte Arbeitskräfte</t>
  </si>
  <si>
    <t>Familienarbeitskräfte</t>
  </si>
  <si>
    <t>Entlohnte feste Arbeitskräfte</t>
  </si>
  <si>
    <t>Ständige Fest-AK</t>
  </si>
  <si>
    <t>Ständige feste Arbeitskräfte</t>
  </si>
  <si>
    <t>Ständige Fest-AK Dienstleistung</t>
  </si>
  <si>
    <t>Ständige Fest-AK Direktabsatz</t>
  </si>
  <si>
    <t>Ständige Fest-AK Eigenproduktion</t>
  </si>
  <si>
    <t>Ständige feste Arbeitskräfte Dienstleistung</t>
  </si>
  <si>
    <t>Ständige feste Arbeitskräfte Direktabsatz</t>
  </si>
  <si>
    <t>Ständige feste Arbeitskräfte Eigenproduktion</t>
  </si>
  <si>
    <t>Fremdarbeitskräfte</t>
  </si>
  <si>
    <t>Nicht entlohnte Fremdarbeitskräfte</t>
  </si>
  <si>
    <t>Saisonarbeitskräfte</t>
  </si>
  <si>
    <t>Saisonarbeitskräfte in Stunden</t>
  </si>
  <si>
    <t>Ständige Fremdarbeitskräfte</t>
  </si>
  <si>
    <t>Landwirtschaftlich genutzte Fläche</t>
  </si>
  <si>
    <t>Umlaufvermögen</t>
  </si>
  <si>
    <t>Lang- und mittelfristiges Fremdkapital</t>
  </si>
  <si>
    <t>Bankkredite</t>
  </si>
  <si>
    <t>Liquidität 1. Grades</t>
  </si>
  <si>
    <t>Liquidität 2. Grades</t>
  </si>
  <si>
    <t>Liquidität 3. Grades</t>
  </si>
  <si>
    <t xml:space="preserve">Nettoentnahmen </t>
  </si>
  <si>
    <t xml:space="preserve">Wareneinsatz Pflanzen </t>
  </si>
  <si>
    <t>Wareneinsatz Material</t>
  </si>
  <si>
    <t>Bezogene Leistungen</t>
  </si>
  <si>
    <t>Mieten bewegliche WG</t>
  </si>
  <si>
    <t>Landwirtschaftlich genutzte Fläche in ha</t>
  </si>
  <si>
    <t>Fläche Freiland-Produktion insgesamt in ha</t>
  </si>
  <si>
    <t xml:space="preserve">Freilandfläche insgesamt </t>
  </si>
  <si>
    <t>Freilandfläche insgesamt in ha</t>
  </si>
  <si>
    <t xml:space="preserve">Allgemein: </t>
  </si>
  <si>
    <t>Die Bezeichnung der Formel 1100 wurde angepasst:</t>
  </si>
  <si>
    <t>Die Formel 4364 wurde neu in die Kennzahlensystematik aufgenommen:</t>
  </si>
  <si>
    <t>i602+i603+i640+((i605+i606)/F1900)</t>
  </si>
  <si>
    <t xml:space="preserve">Die Bezeichnung der Formel 1110 wurde angepasst: </t>
  </si>
  <si>
    <t xml:space="preserve">Die Bezeichnung der Formel 1200 wurde angepasst: </t>
  </si>
  <si>
    <t xml:space="preserve">Die Bezeichnung der Formel 1210 wurde angepasst: </t>
  </si>
  <si>
    <t>Fam AK</t>
  </si>
  <si>
    <t xml:space="preserve">Die Bezeichnung der Formel 1211 wurde angepasst: </t>
  </si>
  <si>
    <t xml:space="preserve">Die Bezeichnung der Formel 1212 wurde angepasst: </t>
  </si>
  <si>
    <t xml:space="preserve">Die Bezeichnung der Formel 1213 wurde angepasst: </t>
  </si>
  <si>
    <t xml:space="preserve">Die Bezeichnung der Formel 1300 wurde angepasst: </t>
  </si>
  <si>
    <t xml:space="preserve">Die Bezeichnung der Formel 1310 wurde angepasst: </t>
  </si>
  <si>
    <t xml:space="preserve">Die Bezeichnung der Formel 1320 wurde angepasst: </t>
  </si>
  <si>
    <t xml:space="preserve">Die Bezeichnung der Formel 1330 wurde angepasst: </t>
  </si>
  <si>
    <t xml:space="preserve">Die Bezeichnung der Formel 1331 wurde angepasst: </t>
  </si>
  <si>
    <t>(i640+i602+i603+i608)+((i605+i606+i607)/F1900)</t>
  </si>
  <si>
    <t>i608+(i607/F1900)</t>
  </si>
  <si>
    <t>(i605+i607)/F1900</t>
  </si>
  <si>
    <t xml:space="preserve">Die alternativen Bezeichnung der Formel 2300 wurde angepasst: </t>
  </si>
  <si>
    <t xml:space="preserve">Die alternativen Bezeichnung der Formel 2301 wurde angepasst: </t>
  </si>
  <si>
    <t>(i501+i502)/!10000</t>
  </si>
  <si>
    <t xml:space="preserve">Die Bezeichnung der Formel 2500 wurde angepasst: </t>
  </si>
  <si>
    <t xml:space="preserve">Die Bezeichnung der Formel 2501 wurde angepasst: </t>
  </si>
  <si>
    <t>i503+i504+i505+i506+F2600</t>
  </si>
  <si>
    <t>F2500/!10000</t>
  </si>
  <si>
    <t>Formel 4373 wurde um eine alternative Bezeichnung ergänzt:</t>
  </si>
  <si>
    <t>Formel 4374 wurde um eine alternative Bezeichnung ergänzt:</t>
  </si>
  <si>
    <t xml:space="preserve">Die Formel 4375 wurde umbenannt: </t>
  </si>
  <si>
    <t>Formel 4522 wurde um eine alternative Bezeichnung ergänzt:</t>
  </si>
  <si>
    <t xml:space="preserve">Die Bezeichnung der Formel 5300 wurde angepasst: </t>
  </si>
  <si>
    <t>Umlaufvermögen (Bilanz)</t>
  </si>
  <si>
    <t xml:space="preserve">Die Bezeichnung der Formel 5100 wurde angepasst: </t>
  </si>
  <si>
    <t>Die alternative Bezeichnung der Formel 6220 wurde angepasst:</t>
  </si>
  <si>
    <t>Darlehen,Hypotheken lt. Bilanz</t>
  </si>
  <si>
    <t>Formel 6230 wurde um eine alternative Bezeichnung ergänzt:</t>
  </si>
  <si>
    <t>Formel 9600 wurde um eine alternative Bezeichnung ergänzt:</t>
  </si>
  <si>
    <t>Formel 9610 wurde um eine alternative Bezeichnung ergänzt:</t>
  </si>
  <si>
    <t>Formel 9620 wurde um eine alternative Bezeichnung ergänzt:</t>
  </si>
  <si>
    <t>F5300/(i213+i214)</t>
  </si>
  <si>
    <r>
      <t>In Formeln verwendete Formelkennungen werden mit einem vorausgestellten</t>
    </r>
    <r>
      <rPr>
        <b/>
        <sz val="11"/>
        <color theme="1"/>
        <rFont val="Calibri"/>
        <family val="2"/>
        <scheme val="minor"/>
      </rPr>
      <t xml:space="preserve"> F</t>
    </r>
    <r>
      <rPr>
        <sz val="11"/>
        <color theme="1"/>
        <rFont val="Calibri"/>
        <family val="2"/>
        <scheme val="minor"/>
      </rPr>
      <t xml:space="preserve"> markiert, verwendete Indices mit einem </t>
    </r>
    <r>
      <rPr>
        <b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und Zahlen mit einem </t>
    </r>
    <r>
      <rPr>
        <b/>
        <sz val="11"/>
        <color theme="1"/>
        <rFont val="Calibri"/>
        <family val="2"/>
        <scheme val="minor"/>
      </rPr>
      <t>!.</t>
    </r>
  </si>
  <si>
    <t>Relative Kennzahlen:</t>
  </si>
  <si>
    <t>In jedem Kennzahlenbereich (beispielsweise 1000-1999: Arbeitskräfte) gibt es die Möglichkeit relative Kennzahlen anzuzeigen.</t>
  </si>
  <si>
    <r>
      <t xml:space="preserve">Die erste "Seite" stellt die </t>
    </r>
    <r>
      <rPr>
        <b/>
        <sz val="11"/>
        <color theme="1"/>
        <rFont val="Calibri"/>
        <family val="2"/>
        <scheme val="minor"/>
      </rPr>
      <t>Kennzahlentabelle</t>
    </r>
    <r>
      <rPr>
        <sz val="11"/>
        <color theme="1"/>
        <rFont val="Calibri"/>
        <family val="2"/>
        <scheme val="minor"/>
      </rPr>
      <t xml:space="preserve"> aus dem Kennzahlenheft des ZGB dar. Hier können die Formelkennungen zu den einzelnen Kennzahlen direkt entnommen und dadurch schneller gesucht werden.</t>
    </r>
  </si>
  <si>
    <t>Absatz Dienstleistung</t>
  </si>
  <si>
    <t>Aufwand Fuhrpark und Maschinen</t>
  </si>
  <si>
    <t>Lohnansatz für Betriebsleitung</t>
  </si>
  <si>
    <t>Reinertragsdifferenz einzelbetrieblich</t>
  </si>
  <si>
    <t xml:space="preserve">Die Formel 4032 wurde von Zinsaufwendungen auf Finanzaufwendungen umbennant. </t>
  </si>
  <si>
    <t>Die Formel 9020 wurde angepasst. Der Index 458 wurde in der vorherigen Version abgezogen, muss aber addiert werden.</t>
  </si>
  <si>
    <t>Die Formel 4141 wurde gelöscht. Die Formel existiert bereits als F4300 (Spezialaufwand) und wurde hier als alternative Bezeichnung eingefügt</t>
  </si>
  <si>
    <t>Die Formel 9732 wurde um die alternative Bezeichnung Eigenkapital lt. Bilanz ergänzt</t>
  </si>
  <si>
    <t>Bestandsveränderung</t>
  </si>
  <si>
    <t>Die Bezeichnungen der Formel 1000 wurden angepasst.</t>
  </si>
  <si>
    <t>Kasse, Bank</t>
  </si>
  <si>
    <r>
      <t xml:space="preserve">Jedes "Tabellenblatt" besitzt in der Kopfzeile ein </t>
    </r>
    <r>
      <rPr>
        <b/>
        <sz val="11"/>
        <color theme="1"/>
        <rFont val="Calibri"/>
        <family val="2"/>
        <scheme val="minor"/>
      </rPr>
      <t>Suchfeld</t>
    </r>
    <r>
      <rPr>
        <sz val="11"/>
        <color theme="1"/>
        <rFont val="Calibri"/>
        <family val="2"/>
        <scheme val="minor"/>
      </rPr>
      <t xml:space="preserve"> in dem Formelkennungen und Indices gesucht werden können. Diese werden </t>
    </r>
    <r>
      <rPr>
        <b/>
        <sz val="11"/>
        <color theme="1"/>
        <rFont val="Calibri"/>
        <family val="2"/>
        <scheme val="minor"/>
      </rPr>
      <t>ohne</t>
    </r>
    <r>
      <rPr>
        <sz val="11"/>
        <color theme="1"/>
        <rFont val="Calibri"/>
        <family val="2"/>
        <scheme val="minor"/>
      </rPr>
      <t xml:space="preserve"> ein vorangestelltes </t>
    </r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oder </t>
    </r>
    <r>
      <rPr>
        <b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eingegeben.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</si>
</sst>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wrapText="1"/>
    </xf>
    <xf numFmtId="0" fontId="5" fillId="0" borderId="0" xfId="0" applyFont="1" applyAlignment="1">
      <alignment horizontal="left"/>
    </xf>
    <xf numFmtId="0" fontId="0" fillId="0" borderId="0" xfId="0" applyAlignment="1">
      <alignment vertical="center" wrapText="1"/>
    </xf>
    <xf numFmtId="49" fontId="0" fillId="0" borderId="0" xfId="0" applyNumberFormat="1"/>
    <xf numFmtId="0" fontId="0" fillId="0" borderId="1" xfId="0" applyBorder="1"/>
    <xf numFmtId="0" fontId="0" fillId="2" borderId="0" xfId="0" applyFill="1"/>
    <xf numFmtId="0" fontId="0" fillId="0" borderId="0" xfId="0" applyAlignment="1">
      <alignment vertical="center"/>
    </xf>
    <xf numFmtId="0" fontId="1" fillId="3" borderId="2" xfId="0" applyFont="1" applyFill="1" applyBorder="1"/>
    <xf numFmtId="0" fontId="0" fillId="0" borderId="0" xfId="0" applyAlignment="1">
      <alignment horizontal="right"/>
    </xf>
    <xf numFmtId="0" fontId="6" fillId="0" borderId="0" xfId="1"/>
    <xf numFmtId="0" fontId="1" fillId="3" borderId="1" xfId="0" applyFont="1" applyFill="1" applyBorder="1" applyAlignment="1">
      <alignment horizontal="center" vertical="center"/>
    </xf>
    <xf numFmtId="20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4" borderId="0" xfId="0" applyFill="1"/>
    <xf numFmtId="0" fontId="0" fillId="4" borderId="0" xfId="0" applyFill="1" applyAlignment="1">
      <alignment horizontal="left"/>
    </xf>
    <xf numFmtId="0" fontId="2" fillId="0" borderId="0" xfId="0" applyFont="1" applyAlignment="1">
      <alignment horizontal="center"/>
    </xf>
    <xf numFmtId="0" fontId="10" fillId="0" borderId="0" xfId="0" applyFont="1"/>
    <xf numFmtId="0" fontId="2" fillId="0" borderId="0" xfId="0" applyFont="1"/>
    <xf numFmtId="3" fontId="0" fillId="0" borderId="0" xfId="0" applyNumberFormat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0" fillId="0" borderId="0" xfId="0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66675</xdr:colOff>
      <xdr:row>62</xdr:row>
      <xdr:rowOff>31750</xdr:rowOff>
    </xdr:from>
    <xdr:ext cx="65" cy="172227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1934825" y="10585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23209</xdr:colOff>
      <xdr:row>67</xdr:row>
      <xdr:rowOff>80962</xdr:rowOff>
    </xdr:from>
    <xdr:ext cx="3425040" cy="3112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00000000-0008-0000-0600-000003000000}"/>
                </a:ext>
              </a:extLst>
            </xdr:cNvPr>
            <xdr:cNvSpPr txBox="1"/>
          </xdr:nvSpPr>
          <xdr:spPr>
            <a:xfrm>
              <a:off x="11891359" y="11587162"/>
              <a:ext cx="3425040" cy="3112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/>
                <a:t>Ø Bestand an Vorräten</a:t>
              </a:r>
              <a14:m>
                <m:oMath xmlns:m="http://schemas.openxmlformats.org/officeDocument/2006/math">
                  <m:r>
                    <a:rPr lang="de-DE" sz="1100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de-DE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d>
                        <m:dPr>
                          <m:ctrlPr>
                            <a:rPr lang="de-DE" sz="1100" b="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𝐵𝑒𝑡𝑟𝑖𝑒𝑏𝑠𝑎𝑢𝑓𝑤𝑎𝑛𝑑</m:t>
                          </m:r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+</m:t>
                          </m:r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𝐿𝑜h𝑛𝑎𝑛𝑠𝑎𝑡𝑧</m:t>
                          </m:r>
                        </m:e>
                      </m:d>
                      <m:r>
                        <a:rPr lang="de-DE" sz="11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de-DE" sz="1100" b="0" i="1">
                          <a:latin typeface="Cambria Math" panose="02040503050406030204" pitchFamily="18" charset="0"/>
                        </a:rPr>
                        <m:t>𝑥</m:t>
                      </m:r>
                      <m:r>
                        <a:rPr lang="de-DE" sz="1100" b="0" i="1">
                          <a:latin typeface="Cambria Math" panose="02040503050406030204" pitchFamily="18" charset="0"/>
                        </a:rPr>
                        <m:t> </m:t>
                      </m:r>
                      <m:f>
                        <m:fPr>
                          <m:ctrlPr>
                            <a:rPr lang="de-DE" sz="1100" b="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5841</m:t>
                          </m:r>
                        </m:num>
                        <m:den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12</m:t>
                          </m:r>
                        </m:den>
                      </m:f>
                    </m:num>
                    <m:den>
                      <m:r>
                        <a:rPr lang="de-DE" sz="1100" b="0" i="1">
                          <a:latin typeface="Cambria Math" panose="02040503050406030204" pitchFamily="18" charset="0"/>
                        </a:rPr>
                        <m:t>2</m:t>
                      </m:r>
                    </m:den>
                  </m:f>
                </m:oMath>
              </a14:m>
              <a:endParaRPr lang="de-DE" sz="1100"/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11891359" y="11587162"/>
              <a:ext cx="3425040" cy="3112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/>
                <a:t>Ø Bestand an Vorräten</a:t>
              </a:r>
              <a:r>
                <a:rPr lang="de-DE" sz="1100" i="0">
                  <a:latin typeface="Cambria Math" panose="02040503050406030204" pitchFamily="18" charset="0"/>
                </a:rPr>
                <a:t>=(</a:t>
              </a:r>
              <a:r>
                <a:rPr lang="de-DE" sz="1100" b="0" i="0">
                  <a:latin typeface="Cambria Math" panose="02040503050406030204" pitchFamily="18" charset="0"/>
                </a:rPr>
                <a:t>(𝐵𝑒𝑡𝑟𝑖𝑒𝑏𝑠𝑎𝑢𝑓𝑤𝑎𝑛𝑑+𝐿𝑜ℎ𝑛𝑎𝑛𝑠𝑎𝑡𝑧)  𝑥 5841/12)/2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9</xdr:col>
      <xdr:colOff>38100</xdr:colOff>
      <xdr:row>71</xdr:row>
      <xdr:rowOff>12700</xdr:rowOff>
    </xdr:from>
    <xdr:ext cx="326550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00000000-0008-0000-0600-000004000000}"/>
                </a:ext>
              </a:extLst>
            </xdr:cNvPr>
            <xdr:cNvSpPr txBox="1"/>
          </xdr:nvSpPr>
          <xdr:spPr>
            <a:xfrm>
              <a:off x="11906250" y="12280900"/>
              <a:ext cx="32655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/>
                <a:t>Ø Zahlungsziel</a:t>
              </a:r>
              <a14:m>
                <m:oMath xmlns:m="http://schemas.openxmlformats.org/officeDocument/2006/math">
                  <m:r>
                    <a:rPr lang="de-DE" sz="1100" i="1">
                      <a:latin typeface="Cambria Math" panose="02040503050406030204" pitchFamily="18" charset="0"/>
                    </a:rPr>
                    <m:t>=</m:t>
                  </m:r>
                  <m:nary>
                    <m:naryPr>
                      <m:chr m:val="∑"/>
                      <m:ctrlPr>
                        <a:rPr lang="de-DE" sz="1100" i="1">
                          <a:latin typeface="Cambria Math" panose="02040503050406030204" pitchFamily="18" charset="0"/>
                        </a:rPr>
                      </m:ctrlPr>
                    </m:naryPr>
                    <m:sub>
                      <m:r>
                        <m:rPr>
                          <m:sty m:val="p"/>
                          <m:brk m:alnAt="23"/>
                        </m:rPr>
                        <a:rPr lang="de-DE" sz="1100" b="0" i="0">
                          <a:latin typeface="Cambria Math" panose="02040503050406030204" pitchFamily="18" charset="0"/>
                        </a:rPr>
                        <m:t>i</m:t>
                      </m:r>
                      <m:r>
                        <a:rPr lang="de-DE" sz="1100" i="0">
                          <a:latin typeface="Cambria Math" panose="02040503050406030204" pitchFamily="18" charset="0"/>
                        </a:rPr>
                        <m:t>=</m:t>
                      </m:r>
                      <m:r>
                        <a:rPr lang="de-DE" sz="1100" b="0" i="0">
                          <a:latin typeface="Cambria Math" panose="02040503050406030204" pitchFamily="18" charset="0"/>
                        </a:rPr>
                        <m:t>1…</m:t>
                      </m:r>
                      <m:r>
                        <m:rPr>
                          <m:sty m:val="p"/>
                        </m:rPr>
                        <a:rPr lang="de-DE" sz="1100" b="0" i="0">
                          <a:latin typeface="Cambria Math" panose="02040503050406030204" pitchFamily="18" charset="0"/>
                        </a:rPr>
                        <m:t>n</m:t>
                      </m:r>
                    </m:sub>
                    <m:sup>
                      <m:r>
                        <m:rPr>
                          <m:sty m:val="p"/>
                        </m:rPr>
                        <a:rPr lang="de-DE" sz="1100" i="0">
                          <a:latin typeface="Cambria Math" panose="02040503050406030204" pitchFamily="18" charset="0"/>
                        </a:rPr>
                        <m:t>n</m:t>
                      </m:r>
                    </m:sup>
                    <m:e>
                      <m:d>
                        <m:dPr>
                          <m:ctrlPr>
                            <a:rPr lang="de-DE" sz="1100" i="1"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m:rPr>
                              <m:sty m:val="p"/>
                            </m:rPr>
                            <a:rPr lang="de-DE" sz="1100" b="0" i="0">
                              <a:latin typeface="Cambria Math" panose="02040503050406030204" pitchFamily="18" charset="0"/>
                            </a:rPr>
                            <m:t>Umsatzanteil</m:t>
                          </m:r>
                          <m:r>
                            <m:rPr>
                              <m:sty m:val="p"/>
                            </m:rPr>
                            <a:rPr lang="de-DE" sz="1100" b="0" i="0" baseline="-25000">
                              <a:latin typeface="Cambria Math" panose="02040503050406030204" pitchFamily="18" charset="0"/>
                            </a:rPr>
                            <m:t>i</m:t>
                          </m:r>
                          <m:r>
                            <a:rPr lang="de-DE" sz="1100" b="0" i="0" baseline="-25000">
                              <a:latin typeface="Cambria Math" panose="02040503050406030204" pitchFamily="18" charset="0"/>
                            </a:rPr>
                            <m:t> </m:t>
                          </m:r>
                          <m:r>
                            <m:rPr>
                              <m:sty m:val="p"/>
                            </m:rPr>
                            <a:rPr lang="de-DE" sz="1100" b="0" i="0" baseline="0">
                              <a:latin typeface="Cambria Math" panose="02040503050406030204" pitchFamily="18" charset="0"/>
                            </a:rPr>
                            <m:t>x</m:t>
                          </m:r>
                          <m:r>
                            <a:rPr lang="de-DE" sz="1100" b="0" i="0" baseline="0">
                              <a:latin typeface="Cambria Math" panose="02040503050406030204" pitchFamily="18" charset="0"/>
                            </a:rPr>
                            <m:t> </m:t>
                          </m:r>
                          <m:r>
                            <m:rPr>
                              <m:sty m:val="p"/>
                            </m:rPr>
                            <a:rPr lang="de-DE" sz="1100" b="0" i="0" baseline="0">
                              <a:latin typeface="Cambria Math" panose="02040503050406030204" pitchFamily="18" charset="0"/>
                            </a:rPr>
                            <m:t>Zahlungszieli</m:t>
                          </m:r>
                        </m:e>
                      </m:d>
                    </m:e>
                  </m:nary>
                </m:oMath>
              </a14:m>
              <a:endParaRPr lang="de-DE" sz="110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11906250" y="12280900"/>
              <a:ext cx="32655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/>
                <a:t>Ø Zahlungsziel</a:t>
              </a:r>
              <a:r>
                <a:rPr lang="de-DE" sz="1100" i="0">
                  <a:latin typeface="Cambria Math" panose="02040503050406030204" pitchFamily="18" charset="0"/>
                </a:rPr>
                <a:t>=∑</a:t>
              </a:r>
              <a:r>
                <a:rPr lang="de-DE" sz="1100" b="0" i="0">
                  <a:latin typeface="Cambria Math" panose="02040503050406030204" pitchFamily="18" charset="0"/>
                </a:rPr>
                <a:t>_(i</a:t>
              </a:r>
              <a:r>
                <a:rPr lang="de-DE" sz="1100" i="0">
                  <a:latin typeface="Cambria Math" panose="02040503050406030204" pitchFamily="18" charset="0"/>
                </a:rPr>
                <a:t>=</a:t>
              </a:r>
              <a:r>
                <a:rPr lang="de-DE" sz="1100" b="0" i="0">
                  <a:latin typeface="Cambria Math" panose="02040503050406030204" pitchFamily="18" charset="0"/>
                </a:rPr>
                <a:t>1…n)^</a:t>
              </a:r>
              <a:r>
                <a:rPr lang="de-DE" sz="1100" i="0">
                  <a:latin typeface="Cambria Math" panose="02040503050406030204" pitchFamily="18" charset="0"/>
                </a:rPr>
                <a:t>n</a:t>
              </a:r>
              <a:r>
                <a:rPr lang="de-DE" sz="1100" b="0" i="0" baseline="0">
                  <a:latin typeface="Cambria Math" panose="02040503050406030204" pitchFamily="18" charset="0"/>
                </a:rPr>
                <a:t>▒(</a:t>
              </a:r>
              <a:r>
                <a:rPr lang="de-DE" sz="1100" b="0" i="0">
                  <a:latin typeface="Cambria Math" panose="02040503050406030204" pitchFamily="18" charset="0"/>
                </a:rPr>
                <a:t>Umsatzanteil</a:t>
              </a:r>
              <a:r>
                <a:rPr lang="de-DE" sz="1100" b="0" i="0" baseline="-25000">
                  <a:latin typeface="Cambria Math" panose="02040503050406030204" pitchFamily="18" charset="0"/>
                </a:rPr>
                <a:t>i </a:t>
              </a:r>
              <a:r>
                <a:rPr lang="de-DE" sz="1100" b="0" i="0" baseline="0">
                  <a:latin typeface="Cambria Math" panose="02040503050406030204" pitchFamily="18" charset="0"/>
                </a:rPr>
                <a:t>x Zahlungszieli) </a:t>
              </a:r>
              <a:endParaRPr lang="de-DE" sz="1100" i="0">
                <a:latin typeface="+mn-lt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44"/>
  <sheetViews>
    <sheetView tabSelected="1" topLeftCell="A4" workbookViewId="0">
      <selection activeCell="G23" sqref="G23"/>
    </sheetView>
  </sheetViews>
  <sheetFormatPr baseColWidth="10" defaultRowHeight="14.4" x14ac:dyDescent="0.3"/>
  <sheetData>
    <row r="1" spans="2:17" x14ac:dyDescent="0.3">
      <c r="B1" s="20" t="s">
        <v>1909</v>
      </c>
      <c r="C1" s="21"/>
      <c r="D1" s="21"/>
    </row>
    <row r="3" spans="2:17" x14ac:dyDescent="0.3">
      <c r="B3" s="1" t="s">
        <v>1922</v>
      </c>
    </row>
    <row r="4" spans="2:17" x14ac:dyDescent="0.3">
      <c r="B4" t="s">
        <v>1923</v>
      </c>
    </row>
    <row r="5" spans="2:17" x14ac:dyDescent="0.3">
      <c r="B5" t="s">
        <v>1924</v>
      </c>
    </row>
    <row r="7" spans="2:17" x14ac:dyDescent="0.3">
      <c r="B7" s="17">
        <v>1000</v>
      </c>
      <c r="C7" s="17" t="s">
        <v>185</v>
      </c>
    </row>
    <row r="8" spans="2:17" x14ac:dyDescent="0.3">
      <c r="B8" s="17">
        <v>2000</v>
      </c>
      <c r="C8" s="17" t="s">
        <v>9</v>
      </c>
    </row>
    <row r="9" spans="2:17" x14ac:dyDescent="0.3">
      <c r="B9" s="17">
        <v>3000</v>
      </c>
      <c r="C9" s="17" t="s">
        <v>1</v>
      </c>
    </row>
    <row r="10" spans="2:17" x14ac:dyDescent="0.3">
      <c r="B10" s="17">
        <v>4000</v>
      </c>
      <c r="C10" s="17" t="s">
        <v>320</v>
      </c>
      <c r="M10" s="19"/>
      <c r="N10" s="19"/>
      <c r="O10" s="19"/>
      <c r="P10" s="19"/>
      <c r="Q10" s="19"/>
    </row>
    <row r="11" spans="2:17" x14ac:dyDescent="0.3">
      <c r="B11" s="17">
        <v>5000</v>
      </c>
      <c r="C11" s="17" t="s">
        <v>12</v>
      </c>
    </row>
    <row r="12" spans="2:17" x14ac:dyDescent="0.3">
      <c r="B12" s="17">
        <v>6000</v>
      </c>
      <c r="C12" s="17" t="s">
        <v>13</v>
      </c>
    </row>
    <row r="13" spans="2:17" x14ac:dyDescent="0.3">
      <c r="B13" s="17">
        <v>9000</v>
      </c>
      <c r="C13" s="17" t="s">
        <v>319</v>
      </c>
    </row>
    <row r="15" spans="2:17" x14ac:dyDescent="0.3">
      <c r="B15" s="1"/>
    </row>
    <row r="16" spans="2:17" x14ac:dyDescent="0.3">
      <c r="B16" s="1" t="s">
        <v>1925</v>
      </c>
    </row>
    <row r="17" spans="2:3" x14ac:dyDescent="0.3">
      <c r="B17" t="s">
        <v>1934</v>
      </c>
    </row>
    <row r="18" spans="2:3" x14ac:dyDescent="0.3">
      <c r="B18" t="s">
        <v>1935</v>
      </c>
    </row>
    <row r="20" spans="2:3" x14ac:dyDescent="0.3">
      <c r="B20" s="1" t="s">
        <v>1638</v>
      </c>
    </row>
    <row r="21" spans="2:3" x14ac:dyDescent="0.3">
      <c r="B21" t="s">
        <v>1939</v>
      </c>
    </row>
    <row r="23" spans="2:3" x14ac:dyDescent="0.3">
      <c r="B23" s="1" t="s">
        <v>1926</v>
      </c>
    </row>
    <row r="24" spans="2:3" x14ac:dyDescent="0.3">
      <c r="B24" t="s">
        <v>2149</v>
      </c>
    </row>
    <row r="26" spans="2:3" x14ac:dyDescent="0.3">
      <c r="B26" s="1" t="s">
        <v>2150</v>
      </c>
    </row>
    <row r="27" spans="2:3" x14ac:dyDescent="0.3">
      <c r="B27" t="s">
        <v>1927</v>
      </c>
    </row>
    <row r="28" spans="2:3" x14ac:dyDescent="0.3">
      <c r="B28" t="s">
        <v>1928</v>
      </c>
    </row>
    <row r="30" spans="2:3" x14ac:dyDescent="0.3">
      <c r="B30" t="s">
        <v>857</v>
      </c>
      <c r="C30" t="s">
        <v>32</v>
      </c>
    </row>
    <row r="31" spans="2:3" x14ac:dyDescent="0.3">
      <c r="B31" t="s">
        <v>844</v>
      </c>
      <c r="C31" t="s">
        <v>297</v>
      </c>
    </row>
    <row r="33" spans="2:2" x14ac:dyDescent="0.3">
      <c r="B33" t="s">
        <v>1929</v>
      </c>
    </row>
    <row r="34" spans="2:2" x14ac:dyDescent="0.3">
      <c r="B34" t="s">
        <v>1910</v>
      </c>
    </row>
    <row r="36" spans="2:2" x14ac:dyDescent="0.3">
      <c r="B36" t="s">
        <v>2151</v>
      </c>
    </row>
    <row r="37" spans="2:2" x14ac:dyDescent="0.3">
      <c r="B37" t="s">
        <v>1938</v>
      </c>
    </row>
    <row r="39" spans="2:2" x14ac:dyDescent="0.3">
      <c r="B39" s="1" t="s">
        <v>1933</v>
      </c>
    </row>
    <row r="40" spans="2:2" x14ac:dyDescent="0.3">
      <c r="B40" t="s">
        <v>2152</v>
      </c>
    </row>
    <row r="41" spans="2:2" x14ac:dyDescent="0.3">
      <c r="B41" t="s">
        <v>1936</v>
      </c>
    </row>
    <row r="43" spans="2:2" x14ac:dyDescent="0.3">
      <c r="B43" s="1" t="s">
        <v>1937</v>
      </c>
    </row>
    <row r="44" spans="2:2" x14ac:dyDescent="0.3">
      <c r="B44" t="s">
        <v>2164</v>
      </c>
    </row>
  </sheetData>
  <hyperlinks>
    <hyperlink ref="B7:C7" location="'1000_Arbeitskräfte'!A1" display="'1000_Arbeitskräfte'!A1" xr:uid="{00000000-0004-0000-0000-000000000000}"/>
    <hyperlink ref="B8:C8" location="'2000_Flächen'!A1" display="'2000_Flächen'!A1" xr:uid="{00000000-0004-0000-0000-000001000000}"/>
    <hyperlink ref="B9:C9" location="'3000_Erträge'!A1" display="'3000_Erträge'!A1" xr:uid="{00000000-0004-0000-0000-000002000000}"/>
    <hyperlink ref="B10:C10" location="'4000_Aufwendungen'!A1" display="'4000_Aufwendungen'!A1" xr:uid="{00000000-0004-0000-0000-000003000000}"/>
    <hyperlink ref="B11:C11" location="'5000_Vermögen'!A1" display="'5000_Vermögen'!A1" xr:uid="{00000000-0004-0000-0000-000004000000}"/>
    <hyperlink ref="B12:C12" location="'6000_Kapital'!A1" display="'6000_Kapital'!A1" xr:uid="{00000000-0004-0000-0000-000005000000}"/>
    <hyperlink ref="B13:C13" location="'9000_Kennzahlen'!A1" display="'9000_Kennzahlen'!A1" xr:uid="{00000000-0004-0000-0000-000006000000}"/>
    <hyperlink ref="C10" location="'4000_Aufwand'!A1" display="Aufwendungen" xr:uid="{00000000-0004-0000-0000-000007000000}"/>
    <hyperlink ref="B10" location="'4000_Aufwand'!A1" display="'4000_Aufwand'!A1" xr:uid="{00000000-0004-0000-0000-00000800000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548"/>
  <sheetViews>
    <sheetView workbookViewId="0"/>
  </sheetViews>
  <sheetFormatPr baseColWidth="10" defaultRowHeight="14.4" x14ac:dyDescent="0.3"/>
  <cols>
    <col min="2" max="2" width="56.88671875" bestFit="1" customWidth="1"/>
  </cols>
  <sheetData>
    <row r="1" spans="1:21" x14ac:dyDescent="0.3">
      <c r="A1" t="s">
        <v>3</v>
      </c>
      <c r="B1" t="s">
        <v>1636</v>
      </c>
      <c r="C1" t="s">
        <v>14</v>
      </c>
      <c r="D1" t="s">
        <v>1637</v>
      </c>
      <c r="F1" t="s">
        <v>15</v>
      </c>
      <c r="G1" t="s">
        <v>4</v>
      </c>
      <c r="K1" t="s">
        <v>1786</v>
      </c>
      <c r="O1" s="3" t="s">
        <v>185</v>
      </c>
      <c r="P1" s="3" t="s">
        <v>9</v>
      </c>
      <c r="Q1" s="3" t="s">
        <v>10</v>
      </c>
      <c r="R1" s="3" t="s">
        <v>11</v>
      </c>
      <c r="S1" s="3" t="s">
        <v>12</v>
      </c>
      <c r="T1" s="3" t="s">
        <v>13</v>
      </c>
      <c r="U1" s="3" t="s">
        <v>12</v>
      </c>
    </row>
    <row r="2" spans="1:21" x14ac:dyDescent="0.3">
      <c r="A2" t="s">
        <v>804</v>
      </c>
      <c r="B2" s="4" t="s">
        <v>1968</v>
      </c>
      <c r="C2" t="s">
        <v>186</v>
      </c>
      <c r="D2" t="s">
        <v>804</v>
      </c>
      <c r="F2">
        <v>1</v>
      </c>
      <c r="G2" t="s">
        <v>1124</v>
      </c>
      <c r="K2" t="s">
        <v>1787</v>
      </c>
      <c r="O2" t="s">
        <v>1968</v>
      </c>
      <c r="P2" t="s">
        <v>223</v>
      </c>
      <c r="Q2" t="s">
        <v>17</v>
      </c>
      <c r="R2" t="s">
        <v>321</v>
      </c>
      <c r="S2" t="s">
        <v>566</v>
      </c>
      <c r="T2" t="s">
        <v>651</v>
      </c>
      <c r="U2" t="s">
        <v>557</v>
      </c>
    </row>
    <row r="3" spans="1:21" x14ac:dyDescent="0.3">
      <c r="A3" t="s">
        <v>1673</v>
      </c>
      <c r="B3" t="s">
        <v>199</v>
      </c>
      <c r="C3" t="s">
        <v>200</v>
      </c>
      <c r="D3" t="s">
        <v>1673</v>
      </c>
      <c r="F3">
        <v>2</v>
      </c>
      <c r="G3" t="s">
        <v>1125</v>
      </c>
      <c r="K3" t="s">
        <v>1788</v>
      </c>
      <c r="O3" t="s">
        <v>199</v>
      </c>
      <c r="P3" t="s">
        <v>311</v>
      </c>
      <c r="Q3" t="s">
        <v>32</v>
      </c>
      <c r="R3" t="s">
        <v>349</v>
      </c>
      <c r="T3" t="s">
        <v>660</v>
      </c>
      <c r="U3" t="s">
        <v>566</v>
      </c>
    </row>
    <row r="4" spans="1:21" x14ac:dyDescent="0.3">
      <c r="A4" t="s">
        <v>1674</v>
      </c>
      <c r="B4" t="s">
        <v>203</v>
      </c>
      <c r="C4" t="s">
        <v>204</v>
      </c>
      <c r="D4" t="s">
        <v>1674</v>
      </c>
      <c r="F4">
        <v>3</v>
      </c>
      <c r="G4" t="s">
        <v>1126</v>
      </c>
      <c r="K4" t="s">
        <v>1789</v>
      </c>
      <c r="O4" t="s">
        <v>203</v>
      </c>
      <c r="P4" t="s">
        <v>239</v>
      </c>
      <c r="Q4" t="s">
        <v>41</v>
      </c>
      <c r="R4" t="s">
        <v>437</v>
      </c>
      <c r="T4" t="s">
        <v>652</v>
      </c>
      <c r="U4" t="s">
        <v>628</v>
      </c>
    </row>
    <row r="5" spans="1:21" x14ac:dyDescent="0.3">
      <c r="A5" t="s">
        <v>1675</v>
      </c>
      <c r="B5" s="4" t="s">
        <v>205</v>
      </c>
      <c r="C5" s="4" t="s">
        <v>206</v>
      </c>
      <c r="D5" t="s">
        <v>1675</v>
      </c>
      <c r="F5">
        <v>4</v>
      </c>
      <c r="G5" t="s">
        <v>1127</v>
      </c>
      <c r="K5" t="s">
        <v>1790</v>
      </c>
      <c r="O5" s="4" t="s">
        <v>205</v>
      </c>
      <c r="P5" t="s">
        <v>227</v>
      </c>
      <c r="Q5" t="s">
        <v>63</v>
      </c>
    </row>
    <row r="6" spans="1:21" x14ac:dyDescent="0.3">
      <c r="A6" t="s">
        <v>805</v>
      </c>
      <c r="B6" t="s">
        <v>2077</v>
      </c>
      <c r="C6" t="s">
        <v>190</v>
      </c>
      <c r="D6" t="s">
        <v>805</v>
      </c>
      <c r="F6">
        <v>9</v>
      </c>
      <c r="K6" t="s">
        <v>1791</v>
      </c>
      <c r="O6" t="s">
        <v>1916</v>
      </c>
      <c r="P6" t="s">
        <v>308</v>
      </c>
      <c r="Q6" t="s">
        <v>99</v>
      </c>
    </row>
    <row r="7" spans="1:21" x14ac:dyDescent="0.3">
      <c r="A7" t="s">
        <v>1676</v>
      </c>
      <c r="B7" t="s">
        <v>2079</v>
      </c>
      <c r="C7" t="s">
        <v>197</v>
      </c>
      <c r="D7" t="s">
        <v>1676</v>
      </c>
      <c r="F7">
        <v>10</v>
      </c>
      <c r="K7" t="s">
        <v>1792</v>
      </c>
      <c r="P7" t="s">
        <v>262</v>
      </c>
      <c r="Q7" t="s">
        <v>116</v>
      </c>
    </row>
    <row r="8" spans="1:21" x14ac:dyDescent="0.3">
      <c r="A8" t="s">
        <v>1677</v>
      </c>
      <c r="B8" t="s">
        <v>201</v>
      </c>
      <c r="C8" t="s">
        <v>202</v>
      </c>
      <c r="D8" t="s">
        <v>1677</v>
      </c>
      <c r="F8">
        <v>11</v>
      </c>
      <c r="G8" t="s">
        <v>1128</v>
      </c>
      <c r="K8" t="s">
        <v>1793</v>
      </c>
      <c r="P8" t="s">
        <v>264</v>
      </c>
      <c r="Q8" t="s">
        <v>121</v>
      </c>
    </row>
    <row r="9" spans="1:21" x14ac:dyDescent="0.3">
      <c r="A9" t="s">
        <v>1678</v>
      </c>
      <c r="B9" t="s">
        <v>1671</v>
      </c>
      <c r="D9" t="s">
        <v>1678</v>
      </c>
      <c r="F9">
        <v>12</v>
      </c>
      <c r="G9" t="s">
        <v>1129</v>
      </c>
      <c r="K9" t="s">
        <v>1794</v>
      </c>
      <c r="P9" t="s">
        <v>263</v>
      </c>
      <c r="Q9" t="s">
        <v>124</v>
      </c>
    </row>
    <row r="10" spans="1:21" x14ac:dyDescent="0.3">
      <c r="A10" t="s">
        <v>1679</v>
      </c>
      <c r="B10" s="4" t="s">
        <v>1672</v>
      </c>
      <c r="D10" t="s">
        <v>1679</v>
      </c>
      <c r="F10">
        <v>13</v>
      </c>
      <c r="G10" t="s">
        <v>1130</v>
      </c>
      <c r="P10" t="s">
        <v>255</v>
      </c>
      <c r="Q10" t="s">
        <v>126</v>
      </c>
    </row>
    <row r="11" spans="1:21" x14ac:dyDescent="0.3">
      <c r="A11" t="s">
        <v>806</v>
      </c>
      <c r="B11" t="s">
        <v>2081</v>
      </c>
      <c r="C11" t="s">
        <v>192</v>
      </c>
      <c r="D11" t="s">
        <v>806</v>
      </c>
      <c r="F11">
        <v>14</v>
      </c>
      <c r="G11" t="s">
        <v>1131</v>
      </c>
      <c r="P11" t="s">
        <v>318</v>
      </c>
      <c r="Q11" t="s">
        <v>133</v>
      </c>
    </row>
    <row r="12" spans="1:21" x14ac:dyDescent="0.3">
      <c r="A12" t="s">
        <v>807</v>
      </c>
      <c r="B12" s="4" t="s">
        <v>2078</v>
      </c>
      <c r="C12" t="s">
        <v>194</v>
      </c>
      <c r="D12" t="s">
        <v>807</v>
      </c>
      <c r="F12">
        <v>15</v>
      </c>
      <c r="G12" t="s">
        <v>1132</v>
      </c>
      <c r="P12" t="s">
        <v>294</v>
      </c>
    </row>
    <row r="13" spans="1:21" x14ac:dyDescent="0.3">
      <c r="A13" t="s">
        <v>1680</v>
      </c>
      <c r="B13" t="s">
        <v>2085</v>
      </c>
      <c r="D13" t="s">
        <v>1680</v>
      </c>
      <c r="F13">
        <v>21</v>
      </c>
      <c r="G13" t="s">
        <v>1133</v>
      </c>
    </row>
    <row r="14" spans="1:21" x14ac:dyDescent="0.3">
      <c r="A14" t="s">
        <v>1681</v>
      </c>
      <c r="B14" t="s">
        <v>2086</v>
      </c>
      <c r="D14" t="s">
        <v>1681</v>
      </c>
      <c r="F14">
        <v>22</v>
      </c>
      <c r="G14" t="s">
        <v>1134</v>
      </c>
    </row>
    <row r="15" spans="1:21" x14ac:dyDescent="0.3">
      <c r="A15" t="s">
        <v>1682</v>
      </c>
      <c r="B15" t="s">
        <v>2087</v>
      </c>
      <c r="D15" t="s">
        <v>1682</v>
      </c>
      <c r="F15">
        <v>23</v>
      </c>
      <c r="G15" t="s">
        <v>1135</v>
      </c>
    </row>
    <row r="16" spans="1:21" x14ac:dyDescent="0.3">
      <c r="A16" t="s">
        <v>808</v>
      </c>
      <c r="B16" t="s">
        <v>2088</v>
      </c>
      <c r="C16" t="s">
        <v>207</v>
      </c>
      <c r="D16" t="s">
        <v>808</v>
      </c>
      <c r="F16">
        <v>24</v>
      </c>
      <c r="G16" t="s">
        <v>1136</v>
      </c>
    </row>
    <row r="17" spans="1:18" x14ac:dyDescent="0.3">
      <c r="A17" t="s">
        <v>809</v>
      </c>
      <c r="B17" t="s">
        <v>2092</v>
      </c>
      <c r="C17" t="s">
        <v>209</v>
      </c>
      <c r="D17" t="s">
        <v>809</v>
      </c>
      <c r="F17">
        <v>25</v>
      </c>
      <c r="G17" t="s">
        <v>1137</v>
      </c>
    </row>
    <row r="18" spans="1:18" x14ac:dyDescent="0.3">
      <c r="A18" t="s">
        <v>810</v>
      </c>
      <c r="B18" t="s">
        <v>2089</v>
      </c>
      <c r="C18" t="s">
        <v>211</v>
      </c>
      <c r="D18" t="s">
        <v>810</v>
      </c>
      <c r="F18">
        <v>26</v>
      </c>
      <c r="G18" t="s">
        <v>1138</v>
      </c>
    </row>
    <row r="19" spans="1:18" x14ac:dyDescent="0.3">
      <c r="A19" t="s">
        <v>811</v>
      </c>
      <c r="B19" t="s">
        <v>2090</v>
      </c>
      <c r="C19" t="s">
        <v>212</v>
      </c>
      <c r="D19" t="s">
        <v>811</v>
      </c>
      <c r="F19">
        <v>27</v>
      </c>
      <c r="G19" t="s">
        <v>1139</v>
      </c>
    </row>
    <row r="20" spans="1:18" x14ac:dyDescent="0.3">
      <c r="A20" t="s">
        <v>812</v>
      </c>
      <c r="B20" t="s">
        <v>2091</v>
      </c>
      <c r="C20" t="s">
        <v>213</v>
      </c>
      <c r="D20" t="s">
        <v>812</v>
      </c>
      <c r="F20">
        <v>28</v>
      </c>
      <c r="G20" t="s">
        <v>1140</v>
      </c>
    </row>
    <row r="21" spans="1:18" x14ac:dyDescent="0.3">
      <c r="A21" t="s">
        <v>813</v>
      </c>
      <c r="B21" t="s">
        <v>803</v>
      </c>
      <c r="D21" t="s">
        <v>813</v>
      </c>
      <c r="F21">
        <v>30</v>
      </c>
      <c r="N21" s="19"/>
      <c r="O21" s="19"/>
      <c r="P21" s="19"/>
      <c r="Q21" s="19"/>
      <c r="R21" s="19"/>
    </row>
    <row r="22" spans="1:18" x14ac:dyDescent="0.3">
      <c r="A22" t="s">
        <v>814</v>
      </c>
      <c r="B22" t="s">
        <v>221</v>
      </c>
      <c r="C22" t="s">
        <v>1119</v>
      </c>
      <c r="D22" t="s">
        <v>814</v>
      </c>
      <c r="F22">
        <v>31</v>
      </c>
      <c r="G22" t="s">
        <v>1141</v>
      </c>
    </row>
    <row r="23" spans="1:18" x14ac:dyDescent="0.3">
      <c r="A23" t="s">
        <v>815</v>
      </c>
      <c r="B23" t="s">
        <v>223</v>
      </c>
      <c r="C23" t="s">
        <v>223</v>
      </c>
      <c r="D23" t="s">
        <v>815</v>
      </c>
      <c r="F23">
        <v>32</v>
      </c>
      <c r="G23" t="s">
        <v>1142</v>
      </c>
    </row>
    <row r="24" spans="1:18" x14ac:dyDescent="0.3">
      <c r="A24" t="s">
        <v>1683</v>
      </c>
      <c r="B24" t="s">
        <v>187</v>
      </c>
      <c r="C24" t="s">
        <v>187</v>
      </c>
      <c r="D24" t="s">
        <v>1683</v>
      </c>
      <c r="F24">
        <v>33</v>
      </c>
      <c r="G24" t="s">
        <v>1143</v>
      </c>
    </row>
    <row r="25" spans="1:18" x14ac:dyDescent="0.3">
      <c r="A25" t="s">
        <v>816</v>
      </c>
      <c r="B25" t="s">
        <v>226</v>
      </c>
      <c r="C25" t="s">
        <v>226</v>
      </c>
      <c r="D25" t="s">
        <v>816</v>
      </c>
      <c r="F25">
        <v>34</v>
      </c>
      <c r="G25" t="s">
        <v>1144</v>
      </c>
    </row>
    <row r="26" spans="1:18" x14ac:dyDescent="0.3">
      <c r="A26" t="s">
        <v>1684</v>
      </c>
      <c r="B26" t="s">
        <v>1642</v>
      </c>
      <c r="D26" t="s">
        <v>1684</v>
      </c>
      <c r="F26">
        <v>35</v>
      </c>
      <c r="G26" t="s">
        <v>1145</v>
      </c>
    </row>
    <row r="27" spans="1:18" x14ac:dyDescent="0.3">
      <c r="A27" t="s">
        <v>817</v>
      </c>
      <c r="B27" t="s">
        <v>231</v>
      </c>
      <c r="C27" t="s">
        <v>232</v>
      </c>
      <c r="D27" t="s">
        <v>817</v>
      </c>
      <c r="F27">
        <v>36</v>
      </c>
      <c r="G27" t="s">
        <v>1146</v>
      </c>
    </row>
    <row r="28" spans="1:18" x14ac:dyDescent="0.3">
      <c r="A28" t="s">
        <v>818</v>
      </c>
      <c r="B28" t="s">
        <v>233</v>
      </c>
      <c r="C28" t="s">
        <v>233</v>
      </c>
      <c r="D28" t="s">
        <v>818</v>
      </c>
      <c r="F28">
        <v>41</v>
      </c>
      <c r="G28" t="s">
        <v>1147</v>
      </c>
    </row>
    <row r="29" spans="1:18" x14ac:dyDescent="0.3">
      <c r="A29" t="s">
        <v>1685</v>
      </c>
      <c r="B29" t="s">
        <v>235</v>
      </c>
      <c r="D29" t="s">
        <v>1685</v>
      </c>
      <c r="F29">
        <v>42</v>
      </c>
      <c r="G29" t="s">
        <v>1148</v>
      </c>
    </row>
    <row r="30" spans="1:18" x14ac:dyDescent="0.3">
      <c r="A30" t="s">
        <v>819</v>
      </c>
      <c r="B30" t="s">
        <v>227</v>
      </c>
      <c r="C30" t="s">
        <v>228</v>
      </c>
      <c r="D30" t="s">
        <v>819</v>
      </c>
      <c r="F30">
        <v>43</v>
      </c>
      <c r="G30" t="s">
        <v>1149</v>
      </c>
    </row>
    <row r="31" spans="1:18" x14ac:dyDescent="0.3">
      <c r="A31" t="s">
        <v>1686</v>
      </c>
      <c r="B31" t="s">
        <v>229</v>
      </c>
      <c r="C31" t="s">
        <v>230</v>
      </c>
      <c r="D31" t="s">
        <v>1686</v>
      </c>
      <c r="F31">
        <v>44</v>
      </c>
      <c r="G31" t="s">
        <v>1150</v>
      </c>
    </row>
    <row r="32" spans="1:18" x14ac:dyDescent="0.3">
      <c r="A32" t="s">
        <v>820</v>
      </c>
      <c r="B32" t="s">
        <v>308</v>
      </c>
      <c r="C32" t="s">
        <v>309</v>
      </c>
      <c r="D32" t="s">
        <v>820</v>
      </c>
      <c r="F32">
        <v>45</v>
      </c>
      <c r="G32" t="s">
        <v>1151</v>
      </c>
    </row>
    <row r="33" spans="1:7" x14ac:dyDescent="0.3">
      <c r="A33" t="s">
        <v>1687</v>
      </c>
      <c r="B33" t="s">
        <v>310</v>
      </c>
      <c r="C33" t="s">
        <v>310</v>
      </c>
      <c r="D33" t="s">
        <v>1687</v>
      </c>
      <c r="F33">
        <v>46</v>
      </c>
      <c r="G33" t="s">
        <v>1152</v>
      </c>
    </row>
    <row r="34" spans="1:7" x14ac:dyDescent="0.3">
      <c r="A34" t="s">
        <v>821</v>
      </c>
      <c r="B34" t="s">
        <v>239</v>
      </c>
      <c r="C34" t="s">
        <v>239</v>
      </c>
      <c r="D34" t="s">
        <v>821</v>
      </c>
      <c r="F34">
        <v>47</v>
      </c>
      <c r="G34" t="s">
        <v>1153</v>
      </c>
    </row>
    <row r="35" spans="1:7" x14ac:dyDescent="0.3">
      <c r="A35" t="s">
        <v>1967</v>
      </c>
      <c r="B35" t="s">
        <v>1965</v>
      </c>
      <c r="C35" t="s">
        <v>1965</v>
      </c>
      <c r="D35" t="s">
        <v>1967</v>
      </c>
      <c r="F35">
        <v>48</v>
      </c>
      <c r="G35" t="s">
        <v>1154</v>
      </c>
    </row>
    <row r="36" spans="1:7" x14ac:dyDescent="0.3">
      <c r="A36" t="s">
        <v>822</v>
      </c>
      <c r="B36" t="s">
        <v>242</v>
      </c>
      <c r="C36" t="s">
        <v>243</v>
      </c>
      <c r="D36" t="s">
        <v>822</v>
      </c>
      <c r="F36">
        <v>49</v>
      </c>
      <c r="G36" t="s">
        <v>1155</v>
      </c>
    </row>
    <row r="37" spans="1:7" x14ac:dyDescent="0.3">
      <c r="A37" t="s">
        <v>1688</v>
      </c>
      <c r="B37" t="s">
        <v>241</v>
      </c>
      <c r="C37" t="s">
        <v>241</v>
      </c>
      <c r="D37" t="s">
        <v>1688</v>
      </c>
      <c r="F37">
        <v>50</v>
      </c>
      <c r="G37" t="s">
        <v>1156</v>
      </c>
    </row>
    <row r="38" spans="1:7" x14ac:dyDescent="0.3">
      <c r="A38" t="s">
        <v>1689</v>
      </c>
      <c r="B38" t="s">
        <v>245</v>
      </c>
      <c r="C38" t="s">
        <v>245</v>
      </c>
      <c r="D38" t="s">
        <v>1689</v>
      </c>
      <c r="F38">
        <v>51</v>
      </c>
      <c r="G38" t="s">
        <v>1157</v>
      </c>
    </row>
    <row r="39" spans="1:7" x14ac:dyDescent="0.3">
      <c r="A39" t="s">
        <v>1690</v>
      </c>
      <c r="B39" t="s">
        <v>317</v>
      </c>
      <c r="D39" t="s">
        <v>1690</v>
      </c>
      <c r="F39">
        <v>53</v>
      </c>
      <c r="G39" t="s">
        <v>1158</v>
      </c>
    </row>
    <row r="40" spans="1:7" x14ac:dyDescent="0.3">
      <c r="A40" t="s">
        <v>1691</v>
      </c>
      <c r="B40" t="s">
        <v>247</v>
      </c>
      <c r="C40" t="s">
        <v>247</v>
      </c>
      <c r="D40" t="s">
        <v>1691</v>
      </c>
      <c r="F40">
        <v>54</v>
      </c>
      <c r="G40" t="s">
        <v>1159</v>
      </c>
    </row>
    <row r="41" spans="1:7" x14ac:dyDescent="0.3">
      <c r="A41" t="s">
        <v>823</v>
      </c>
      <c r="B41" t="s">
        <v>2107</v>
      </c>
      <c r="C41" t="s">
        <v>262</v>
      </c>
      <c r="D41" t="s">
        <v>823</v>
      </c>
      <c r="F41">
        <v>55</v>
      </c>
      <c r="G41" t="s">
        <v>1160</v>
      </c>
    </row>
    <row r="42" spans="1:7" x14ac:dyDescent="0.3">
      <c r="A42" t="s">
        <v>1692</v>
      </c>
      <c r="B42" t="s">
        <v>2108</v>
      </c>
      <c r="C42" t="s">
        <v>2106</v>
      </c>
      <c r="D42" t="s">
        <v>1692</v>
      </c>
      <c r="F42">
        <v>56</v>
      </c>
      <c r="G42" t="s">
        <v>1161</v>
      </c>
    </row>
    <row r="43" spans="1:7" x14ac:dyDescent="0.3">
      <c r="A43" t="s">
        <v>824</v>
      </c>
      <c r="B43" t="s">
        <v>252</v>
      </c>
      <c r="C43" t="s">
        <v>253</v>
      </c>
      <c r="D43" t="s">
        <v>824</v>
      </c>
      <c r="F43">
        <v>57</v>
      </c>
      <c r="G43" t="s">
        <v>1162</v>
      </c>
    </row>
    <row r="44" spans="1:7" x14ac:dyDescent="0.3">
      <c r="A44" t="s">
        <v>2065</v>
      </c>
      <c r="B44" t="s">
        <v>2061</v>
      </c>
      <c r="C44" t="s">
        <v>2062</v>
      </c>
      <c r="D44" t="s">
        <v>2065</v>
      </c>
      <c r="F44">
        <v>58</v>
      </c>
      <c r="G44" t="s">
        <v>1163</v>
      </c>
    </row>
    <row r="45" spans="1:7" x14ac:dyDescent="0.3">
      <c r="A45" t="s">
        <v>825</v>
      </c>
      <c r="B45" t="s">
        <v>249</v>
      </c>
      <c r="C45" t="s">
        <v>250</v>
      </c>
      <c r="D45" t="s">
        <v>825</v>
      </c>
      <c r="F45">
        <v>59</v>
      </c>
      <c r="G45" t="s">
        <v>1164</v>
      </c>
    </row>
    <row r="46" spans="1:7" x14ac:dyDescent="0.3">
      <c r="A46" t="s">
        <v>826</v>
      </c>
      <c r="B46" t="s">
        <v>264</v>
      </c>
      <c r="C46" t="s">
        <v>264</v>
      </c>
      <c r="D46" t="s">
        <v>826</v>
      </c>
      <c r="F46">
        <v>60</v>
      </c>
    </row>
    <row r="47" spans="1:7" x14ac:dyDescent="0.3">
      <c r="A47" t="s">
        <v>827</v>
      </c>
      <c r="B47" t="s">
        <v>292</v>
      </c>
      <c r="C47" t="s">
        <v>292</v>
      </c>
      <c r="D47" t="s">
        <v>827</v>
      </c>
      <c r="F47">
        <v>61</v>
      </c>
      <c r="G47" t="s">
        <v>1165</v>
      </c>
    </row>
    <row r="48" spans="1:7" x14ac:dyDescent="0.3">
      <c r="A48" t="s">
        <v>828</v>
      </c>
      <c r="B48" t="s">
        <v>289</v>
      </c>
      <c r="C48" t="s">
        <v>290</v>
      </c>
      <c r="D48" t="s">
        <v>828</v>
      </c>
      <c r="F48">
        <v>63</v>
      </c>
      <c r="G48" t="s">
        <v>1166</v>
      </c>
    </row>
    <row r="49" spans="1:7" x14ac:dyDescent="0.3">
      <c r="A49" t="s">
        <v>829</v>
      </c>
      <c r="B49" t="s">
        <v>286</v>
      </c>
      <c r="C49" t="s">
        <v>287</v>
      </c>
      <c r="D49" t="s">
        <v>829</v>
      </c>
      <c r="F49">
        <v>64</v>
      </c>
      <c r="G49" t="s">
        <v>1167</v>
      </c>
    </row>
    <row r="50" spans="1:7" x14ac:dyDescent="0.3">
      <c r="A50" t="s">
        <v>830</v>
      </c>
      <c r="B50" t="s">
        <v>263</v>
      </c>
      <c r="C50" t="s">
        <v>263</v>
      </c>
      <c r="D50" t="s">
        <v>830</v>
      </c>
      <c r="F50">
        <v>65</v>
      </c>
      <c r="G50" t="s">
        <v>1168</v>
      </c>
    </row>
    <row r="51" spans="1:7" x14ac:dyDescent="0.3">
      <c r="A51" t="s">
        <v>831</v>
      </c>
      <c r="B51" t="s">
        <v>283</v>
      </c>
      <c r="C51" t="s">
        <v>284</v>
      </c>
      <c r="D51" t="s">
        <v>831</v>
      </c>
      <c r="F51">
        <v>66</v>
      </c>
      <c r="G51" t="s">
        <v>1169</v>
      </c>
    </row>
    <row r="52" spans="1:7" x14ac:dyDescent="0.3">
      <c r="A52" t="s">
        <v>832</v>
      </c>
      <c r="B52" t="s">
        <v>255</v>
      </c>
      <c r="C52" t="s">
        <v>255</v>
      </c>
      <c r="D52" t="s">
        <v>832</v>
      </c>
      <c r="F52">
        <v>67</v>
      </c>
      <c r="G52" t="s">
        <v>1170</v>
      </c>
    </row>
    <row r="53" spans="1:7" x14ac:dyDescent="0.3">
      <c r="A53" t="s">
        <v>833</v>
      </c>
      <c r="B53" t="s">
        <v>257</v>
      </c>
      <c r="C53" t="s">
        <v>258</v>
      </c>
      <c r="D53" t="s">
        <v>833</v>
      </c>
      <c r="F53">
        <v>68</v>
      </c>
      <c r="G53" t="s">
        <v>1171</v>
      </c>
    </row>
    <row r="54" spans="1:7" x14ac:dyDescent="0.3">
      <c r="A54" t="s">
        <v>834</v>
      </c>
      <c r="B54" t="s">
        <v>318</v>
      </c>
      <c r="D54" t="s">
        <v>834</v>
      </c>
      <c r="F54">
        <v>69</v>
      </c>
      <c r="G54" t="s">
        <v>1172</v>
      </c>
    </row>
    <row r="55" spans="1:7" x14ac:dyDescent="0.3">
      <c r="A55" t="s">
        <v>835</v>
      </c>
      <c r="B55" t="s">
        <v>266</v>
      </c>
      <c r="C55" t="s">
        <v>267</v>
      </c>
      <c r="D55" t="s">
        <v>835</v>
      </c>
      <c r="F55">
        <v>70</v>
      </c>
      <c r="G55" t="s">
        <v>1173</v>
      </c>
    </row>
    <row r="56" spans="1:7" x14ac:dyDescent="0.3">
      <c r="A56" t="s">
        <v>836</v>
      </c>
      <c r="B56" t="s">
        <v>269</v>
      </c>
      <c r="C56" t="s">
        <v>269</v>
      </c>
      <c r="D56" t="s">
        <v>836</v>
      </c>
      <c r="F56">
        <v>80</v>
      </c>
      <c r="G56" t="s">
        <v>1174</v>
      </c>
    </row>
    <row r="57" spans="1:7" x14ac:dyDescent="0.3">
      <c r="A57" t="s">
        <v>837</v>
      </c>
      <c r="B57" t="s">
        <v>275</v>
      </c>
      <c r="C57" t="s">
        <v>275</v>
      </c>
      <c r="D57" t="s">
        <v>837</v>
      </c>
      <c r="F57">
        <v>81</v>
      </c>
      <c r="G57" t="s">
        <v>1175</v>
      </c>
    </row>
    <row r="58" spans="1:7" x14ac:dyDescent="0.3">
      <c r="A58" t="s">
        <v>838</v>
      </c>
      <c r="B58" t="s">
        <v>277</v>
      </c>
      <c r="C58" t="s">
        <v>277</v>
      </c>
      <c r="D58" t="s">
        <v>838</v>
      </c>
      <c r="F58">
        <v>101</v>
      </c>
      <c r="G58" t="s">
        <v>1176</v>
      </c>
    </row>
    <row r="59" spans="1:7" x14ac:dyDescent="0.3">
      <c r="A59" t="s">
        <v>839</v>
      </c>
      <c r="B59" t="s">
        <v>260</v>
      </c>
      <c r="C59" t="s">
        <v>260</v>
      </c>
      <c r="D59" t="s">
        <v>839</v>
      </c>
      <c r="F59">
        <v>102</v>
      </c>
      <c r="G59" t="s">
        <v>1177</v>
      </c>
    </row>
    <row r="60" spans="1:7" x14ac:dyDescent="0.3">
      <c r="A60" t="s">
        <v>840</v>
      </c>
      <c r="B60" t="s">
        <v>271</v>
      </c>
      <c r="C60" t="s">
        <v>271</v>
      </c>
      <c r="D60" t="s">
        <v>840</v>
      </c>
      <c r="F60">
        <v>103</v>
      </c>
      <c r="G60" t="s">
        <v>1178</v>
      </c>
    </row>
    <row r="61" spans="1:7" x14ac:dyDescent="0.3">
      <c r="A61" t="s">
        <v>841</v>
      </c>
      <c r="B61" t="s">
        <v>273</v>
      </c>
      <c r="C61" t="s">
        <v>273</v>
      </c>
      <c r="D61" t="s">
        <v>841</v>
      </c>
      <c r="F61">
        <v>104</v>
      </c>
      <c r="G61" t="s">
        <v>1179</v>
      </c>
    </row>
    <row r="62" spans="1:7" x14ac:dyDescent="0.3">
      <c r="A62" t="s">
        <v>842</v>
      </c>
      <c r="B62" t="s">
        <v>281</v>
      </c>
      <c r="C62" t="s">
        <v>281</v>
      </c>
      <c r="D62" t="s">
        <v>842</v>
      </c>
      <c r="F62">
        <v>105</v>
      </c>
      <c r="G62" t="s">
        <v>1180</v>
      </c>
    </row>
    <row r="63" spans="1:7" x14ac:dyDescent="0.3">
      <c r="A63" t="s">
        <v>843</v>
      </c>
      <c r="B63" t="s">
        <v>279</v>
      </c>
      <c r="C63" t="s">
        <v>279</v>
      </c>
      <c r="D63" t="s">
        <v>843</v>
      </c>
      <c r="F63">
        <v>106</v>
      </c>
      <c r="G63" t="s">
        <v>1181</v>
      </c>
    </row>
    <row r="64" spans="1:7" x14ac:dyDescent="0.3">
      <c r="A64" t="s">
        <v>2060</v>
      </c>
      <c r="B64" t="s">
        <v>2057</v>
      </c>
      <c r="C64" t="s">
        <v>2057</v>
      </c>
      <c r="D64" t="s">
        <v>2060</v>
      </c>
      <c r="F64">
        <v>107</v>
      </c>
      <c r="G64" t="s">
        <v>1182</v>
      </c>
    </row>
    <row r="65" spans="1:7" x14ac:dyDescent="0.3">
      <c r="A65" t="s">
        <v>844</v>
      </c>
      <c r="B65" t="s">
        <v>294</v>
      </c>
      <c r="C65" t="s">
        <v>295</v>
      </c>
      <c r="D65" t="s">
        <v>844</v>
      </c>
      <c r="F65">
        <v>108</v>
      </c>
      <c r="G65" t="s">
        <v>1183</v>
      </c>
    </row>
    <row r="66" spans="1:7" x14ac:dyDescent="0.3">
      <c r="A66" t="s">
        <v>1693</v>
      </c>
      <c r="B66" t="s">
        <v>297</v>
      </c>
      <c r="C66" t="s">
        <v>298</v>
      </c>
      <c r="D66" t="s">
        <v>1693</v>
      </c>
      <c r="F66">
        <v>109</v>
      </c>
      <c r="G66" t="s">
        <v>1184</v>
      </c>
    </row>
    <row r="67" spans="1:7" x14ac:dyDescent="0.3">
      <c r="A67" t="s">
        <v>845</v>
      </c>
      <c r="B67" t="s">
        <v>1911</v>
      </c>
      <c r="C67" t="s">
        <v>299</v>
      </c>
      <c r="D67" t="s">
        <v>845</v>
      </c>
      <c r="F67">
        <v>110</v>
      </c>
      <c r="G67" t="s">
        <v>1185</v>
      </c>
    </row>
    <row r="68" spans="1:7" x14ac:dyDescent="0.3">
      <c r="A68" t="s">
        <v>846</v>
      </c>
      <c r="B68" t="s">
        <v>1644</v>
      </c>
      <c r="D68" t="s">
        <v>846</v>
      </c>
      <c r="F68">
        <v>111</v>
      </c>
      <c r="G68" t="s">
        <v>1186</v>
      </c>
    </row>
    <row r="69" spans="1:7" x14ac:dyDescent="0.3">
      <c r="A69" t="s">
        <v>1694</v>
      </c>
      <c r="B69" t="s">
        <v>300</v>
      </c>
      <c r="C69" t="s">
        <v>300</v>
      </c>
      <c r="D69" t="s">
        <v>1694</v>
      </c>
      <c r="F69">
        <v>112</v>
      </c>
      <c r="G69" t="s">
        <v>1187</v>
      </c>
    </row>
    <row r="70" spans="1:7" x14ac:dyDescent="0.3">
      <c r="A70" t="s">
        <v>847</v>
      </c>
      <c r="B70" t="s">
        <v>302</v>
      </c>
      <c r="C70" t="s">
        <v>302</v>
      </c>
      <c r="D70" t="s">
        <v>847</v>
      </c>
      <c r="F70">
        <v>113</v>
      </c>
      <c r="G70" t="s">
        <v>1188</v>
      </c>
    </row>
    <row r="71" spans="1:7" x14ac:dyDescent="0.3">
      <c r="A71" t="s">
        <v>848</v>
      </c>
      <c r="B71" t="s">
        <v>304</v>
      </c>
      <c r="C71" t="s">
        <v>305</v>
      </c>
      <c r="D71" t="s">
        <v>848</v>
      </c>
      <c r="F71">
        <v>114</v>
      </c>
      <c r="G71" t="s">
        <v>1189</v>
      </c>
    </row>
    <row r="72" spans="1:7" x14ac:dyDescent="0.3">
      <c r="A72" t="s">
        <v>849</v>
      </c>
      <c r="B72" t="s">
        <v>306</v>
      </c>
      <c r="C72" t="s">
        <v>307</v>
      </c>
      <c r="D72" t="s">
        <v>849</v>
      </c>
      <c r="F72">
        <v>115</v>
      </c>
      <c r="G72" t="s">
        <v>1190</v>
      </c>
    </row>
    <row r="73" spans="1:7" x14ac:dyDescent="0.3">
      <c r="A73" t="s">
        <v>850</v>
      </c>
      <c r="B73" t="s">
        <v>311</v>
      </c>
      <c r="C73" t="s">
        <v>311</v>
      </c>
      <c r="D73" t="s">
        <v>850</v>
      </c>
      <c r="F73">
        <v>116</v>
      </c>
      <c r="G73" t="s">
        <v>1191</v>
      </c>
    </row>
    <row r="74" spans="1:7" x14ac:dyDescent="0.3">
      <c r="A74" t="s">
        <v>851</v>
      </c>
      <c r="B74" t="s">
        <v>314</v>
      </c>
      <c r="C74" t="s">
        <v>315</v>
      </c>
      <c r="D74" t="s">
        <v>851</v>
      </c>
      <c r="F74">
        <v>117</v>
      </c>
      <c r="G74" t="s">
        <v>1192</v>
      </c>
    </row>
    <row r="75" spans="1:7" x14ac:dyDescent="0.3">
      <c r="A75" t="s">
        <v>852</v>
      </c>
      <c r="B75" t="s">
        <v>312</v>
      </c>
      <c r="C75" t="s">
        <v>312</v>
      </c>
      <c r="D75" t="s">
        <v>852</v>
      </c>
      <c r="F75">
        <v>118</v>
      </c>
      <c r="G75" t="s">
        <v>1193</v>
      </c>
    </row>
    <row r="76" spans="1:7" x14ac:dyDescent="0.3">
      <c r="A76" t="s">
        <v>853</v>
      </c>
      <c r="B76" t="s">
        <v>17</v>
      </c>
      <c r="C76" t="s">
        <v>18</v>
      </c>
      <c r="D76" t="s">
        <v>853</v>
      </c>
      <c r="F76">
        <v>119</v>
      </c>
      <c r="G76" t="s">
        <v>1194</v>
      </c>
    </row>
    <row r="77" spans="1:7" x14ac:dyDescent="0.3">
      <c r="A77" t="s">
        <v>1695</v>
      </c>
      <c r="B77" t="s">
        <v>21</v>
      </c>
      <c r="C77" t="s">
        <v>22</v>
      </c>
      <c r="D77" t="s">
        <v>1695</v>
      </c>
      <c r="F77">
        <v>120</v>
      </c>
      <c r="G77" t="s">
        <v>1195</v>
      </c>
    </row>
    <row r="78" spans="1:7" x14ac:dyDescent="0.3">
      <c r="A78" t="s">
        <v>854</v>
      </c>
      <c r="B78" t="s">
        <v>23</v>
      </c>
      <c r="C78" t="s">
        <v>24</v>
      </c>
      <c r="D78" t="s">
        <v>854</v>
      </c>
      <c r="F78">
        <v>122</v>
      </c>
      <c r="G78" t="s">
        <v>1196</v>
      </c>
    </row>
    <row r="79" spans="1:7" x14ac:dyDescent="0.3">
      <c r="A79" t="s">
        <v>855</v>
      </c>
      <c r="B79" t="s">
        <v>26</v>
      </c>
      <c r="C79" t="s">
        <v>27</v>
      </c>
      <c r="D79" t="s">
        <v>855</v>
      </c>
      <c r="F79">
        <v>123</v>
      </c>
      <c r="G79" t="s">
        <v>517</v>
      </c>
    </row>
    <row r="80" spans="1:7" x14ac:dyDescent="0.3">
      <c r="A80" t="s">
        <v>1696</v>
      </c>
      <c r="B80" t="s">
        <v>30</v>
      </c>
      <c r="D80" t="s">
        <v>1696</v>
      </c>
      <c r="F80">
        <v>124</v>
      </c>
      <c r="G80" t="s">
        <v>516</v>
      </c>
    </row>
    <row r="81" spans="1:7" x14ac:dyDescent="0.3">
      <c r="A81" t="s">
        <v>1697</v>
      </c>
      <c r="B81" t="s">
        <v>706</v>
      </c>
      <c r="C81" t="s">
        <v>707</v>
      </c>
      <c r="D81" t="s">
        <v>1697</v>
      </c>
      <c r="F81">
        <v>125</v>
      </c>
      <c r="G81" t="s">
        <v>1197</v>
      </c>
    </row>
    <row r="82" spans="1:7" x14ac:dyDescent="0.3">
      <c r="A82" t="s">
        <v>1698</v>
      </c>
      <c r="B82" t="s">
        <v>31</v>
      </c>
      <c r="D82" t="s">
        <v>1698</v>
      </c>
      <c r="F82">
        <v>126</v>
      </c>
      <c r="G82" t="s">
        <v>1198</v>
      </c>
    </row>
    <row r="83" spans="1:7" x14ac:dyDescent="0.3">
      <c r="A83" t="s">
        <v>856</v>
      </c>
      <c r="B83" t="s">
        <v>36</v>
      </c>
      <c r="D83" t="s">
        <v>856</v>
      </c>
      <c r="F83">
        <v>127</v>
      </c>
      <c r="G83" t="s">
        <v>515</v>
      </c>
    </row>
    <row r="84" spans="1:7" x14ac:dyDescent="0.3">
      <c r="A84" t="s">
        <v>857</v>
      </c>
      <c r="B84" t="s">
        <v>32</v>
      </c>
      <c r="C84" t="s">
        <v>33</v>
      </c>
      <c r="D84" t="s">
        <v>857</v>
      </c>
      <c r="F84">
        <v>128</v>
      </c>
      <c r="G84" t="s">
        <v>1199</v>
      </c>
    </row>
    <row r="85" spans="1:7" x14ac:dyDescent="0.3">
      <c r="A85" t="s">
        <v>1699</v>
      </c>
      <c r="B85" t="s">
        <v>34</v>
      </c>
      <c r="C85" t="s">
        <v>35</v>
      </c>
      <c r="D85" t="s">
        <v>1699</v>
      </c>
      <c r="F85">
        <v>129</v>
      </c>
      <c r="G85" t="s">
        <v>1200</v>
      </c>
    </row>
    <row r="86" spans="1:7" x14ac:dyDescent="0.3">
      <c r="A86" t="s">
        <v>858</v>
      </c>
      <c r="B86" t="s">
        <v>38</v>
      </c>
      <c r="C86" t="s">
        <v>39</v>
      </c>
      <c r="D86" t="s">
        <v>858</v>
      </c>
      <c r="F86">
        <v>130</v>
      </c>
      <c r="G86" t="s">
        <v>1201</v>
      </c>
    </row>
    <row r="87" spans="1:7" x14ac:dyDescent="0.3">
      <c r="A87" t="s">
        <v>859</v>
      </c>
      <c r="B87" t="s">
        <v>43</v>
      </c>
      <c r="C87" t="s">
        <v>44</v>
      </c>
      <c r="D87" t="s">
        <v>859</v>
      </c>
      <c r="F87">
        <v>131</v>
      </c>
      <c r="G87" t="s">
        <v>1202</v>
      </c>
    </row>
    <row r="88" spans="1:7" x14ac:dyDescent="0.3">
      <c r="A88" t="s">
        <v>860</v>
      </c>
      <c r="B88" t="s">
        <v>60</v>
      </c>
      <c r="C88" t="s">
        <v>61</v>
      </c>
      <c r="D88" t="s">
        <v>860</v>
      </c>
      <c r="F88">
        <v>141</v>
      </c>
      <c r="G88" t="s">
        <v>1203</v>
      </c>
    </row>
    <row r="89" spans="1:7" x14ac:dyDescent="0.3">
      <c r="A89" t="s">
        <v>1974</v>
      </c>
      <c r="B89" t="s">
        <v>1288</v>
      </c>
      <c r="C89" t="s">
        <v>1288</v>
      </c>
      <c r="D89" t="s">
        <v>1974</v>
      </c>
      <c r="F89">
        <v>142</v>
      </c>
      <c r="G89" t="s">
        <v>1204</v>
      </c>
    </row>
    <row r="90" spans="1:7" x14ac:dyDescent="0.3">
      <c r="A90" t="s">
        <v>861</v>
      </c>
      <c r="B90" t="s">
        <v>1955</v>
      </c>
      <c r="C90" t="s">
        <v>52</v>
      </c>
      <c r="D90" t="s">
        <v>861</v>
      </c>
      <c r="F90">
        <v>143</v>
      </c>
      <c r="G90" t="s">
        <v>1205</v>
      </c>
    </row>
    <row r="91" spans="1:7" x14ac:dyDescent="0.3">
      <c r="A91" t="s">
        <v>862</v>
      </c>
      <c r="B91" t="s">
        <v>50</v>
      </c>
      <c r="C91" t="s">
        <v>51</v>
      </c>
      <c r="D91" t="s">
        <v>862</v>
      </c>
      <c r="F91">
        <v>144</v>
      </c>
      <c r="G91" t="s">
        <v>1206</v>
      </c>
    </row>
    <row r="92" spans="1:7" x14ac:dyDescent="0.3">
      <c r="A92" t="s">
        <v>1700</v>
      </c>
      <c r="B92" t="s">
        <v>46</v>
      </c>
      <c r="C92" t="s">
        <v>46</v>
      </c>
      <c r="D92" t="s">
        <v>1700</v>
      </c>
      <c r="F92">
        <v>145</v>
      </c>
      <c r="G92" t="s">
        <v>1207</v>
      </c>
    </row>
    <row r="93" spans="1:7" x14ac:dyDescent="0.3">
      <c r="A93" t="s">
        <v>1701</v>
      </c>
      <c r="B93" t="s">
        <v>54</v>
      </c>
      <c r="C93" t="s">
        <v>54</v>
      </c>
      <c r="D93" t="s">
        <v>1701</v>
      </c>
      <c r="F93">
        <v>146</v>
      </c>
      <c r="G93" t="s">
        <v>1208</v>
      </c>
    </row>
    <row r="94" spans="1:7" x14ac:dyDescent="0.3">
      <c r="A94" t="s">
        <v>1702</v>
      </c>
      <c r="B94" t="s">
        <v>56</v>
      </c>
      <c r="D94" t="s">
        <v>1702</v>
      </c>
      <c r="F94">
        <v>147</v>
      </c>
      <c r="G94" t="s">
        <v>1209</v>
      </c>
    </row>
    <row r="95" spans="1:7" x14ac:dyDescent="0.3">
      <c r="A95" t="s">
        <v>1703</v>
      </c>
      <c r="B95" t="s">
        <v>1950</v>
      </c>
      <c r="C95" t="s">
        <v>1950</v>
      </c>
      <c r="D95" t="s">
        <v>1703</v>
      </c>
      <c r="F95">
        <v>150</v>
      </c>
      <c r="G95" t="s">
        <v>1210</v>
      </c>
    </row>
    <row r="96" spans="1:7" x14ac:dyDescent="0.3">
      <c r="A96" t="s">
        <v>1951</v>
      </c>
      <c r="B96" t="s">
        <v>57</v>
      </c>
      <c r="D96" t="s">
        <v>1951</v>
      </c>
      <c r="F96">
        <v>151</v>
      </c>
      <c r="G96" t="s">
        <v>1211</v>
      </c>
    </row>
    <row r="97" spans="1:7" x14ac:dyDescent="0.3">
      <c r="A97" t="s">
        <v>863</v>
      </c>
      <c r="B97" t="s">
        <v>41</v>
      </c>
      <c r="C97" t="s">
        <v>41</v>
      </c>
      <c r="D97" t="s">
        <v>863</v>
      </c>
      <c r="F97">
        <v>152</v>
      </c>
      <c r="G97" t="s">
        <v>1212</v>
      </c>
    </row>
    <row r="98" spans="1:7" x14ac:dyDescent="0.3">
      <c r="A98" t="s">
        <v>864</v>
      </c>
      <c r="B98" t="s">
        <v>63</v>
      </c>
      <c r="C98" t="s">
        <v>64</v>
      </c>
      <c r="D98" t="s">
        <v>864</v>
      </c>
      <c r="F98">
        <v>153</v>
      </c>
      <c r="G98" t="s">
        <v>1213</v>
      </c>
    </row>
    <row r="99" spans="1:7" x14ac:dyDescent="0.3">
      <c r="A99" t="s">
        <v>865</v>
      </c>
      <c r="B99" t="s">
        <v>66</v>
      </c>
      <c r="C99" t="s">
        <v>67</v>
      </c>
      <c r="D99" t="s">
        <v>865</v>
      </c>
      <c r="F99">
        <v>154</v>
      </c>
      <c r="G99" t="s">
        <v>1214</v>
      </c>
    </row>
    <row r="100" spans="1:7" x14ac:dyDescent="0.3">
      <c r="A100" t="s">
        <v>866</v>
      </c>
      <c r="B100" t="s">
        <v>70</v>
      </c>
      <c r="C100" t="s">
        <v>71</v>
      </c>
      <c r="D100" t="s">
        <v>866</v>
      </c>
      <c r="F100">
        <v>155</v>
      </c>
      <c r="G100" t="s">
        <v>1215</v>
      </c>
    </row>
    <row r="101" spans="1:7" x14ac:dyDescent="0.3">
      <c r="A101" t="s">
        <v>867</v>
      </c>
      <c r="B101" t="s">
        <v>79</v>
      </c>
      <c r="D101" t="s">
        <v>867</v>
      </c>
      <c r="F101">
        <v>156</v>
      </c>
      <c r="G101" t="s">
        <v>1216</v>
      </c>
    </row>
    <row r="102" spans="1:7" x14ac:dyDescent="0.3">
      <c r="A102" t="s">
        <v>868</v>
      </c>
      <c r="B102" t="s">
        <v>80</v>
      </c>
      <c r="D102" t="s">
        <v>868</v>
      </c>
      <c r="F102">
        <v>157</v>
      </c>
      <c r="G102" t="s">
        <v>1217</v>
      </c>
    </row>
    <row r="103" spans="1:7" x14ac:dyDescent="0.3">
      <c r="A103" t="s">
        <v>869</v>
      </c>
      <c r="B103" t="s">
        <v>81</v>
      </c>
      <c r="D103" t="s">
        <v>869</v>
      </c>
      <c r="F103">
        <v>158</v>
      </c>
      <c r="G103" t="s">
        <v>1218</v>
      </c>
    </row>
    <row r="104" spans="1:7" x14ac:dyDescent="0.3">
      <c r="A104" t="s">
        <v>870</v>
      </c>
      <c r="B104" t="s">
        <v>82</v>
      </c>
      <c r="D104" t="s">
        <v>870</v>
      </c>
      <c r="F104">
        <v>159</v>
      </c>
      <c r="G104" t="s">
        <v>1219</v>
      </c>
    </row>
    <row r="105" spans="1:7" x14ac:dyDescent="0.3">
      <c r="A105" t="s">
        <v>871</v>
      </c>
      <c r="B105" t="s">
        <v>83</v>
      </c>
      <c r="D105" t="s">
        <v>871</v>
      </c>
      <c r="F105">
        <v>160</v>
      </c>
      <c r="G105" t="s">
        <v>1220</v>
      </c>
    </row>
    <row r="106" spans="1:7" x14ac:dyDescent="0.3">
      <c r="A106" t="s">
        <v>872</v>
      </c>
      <c r="B106" t="s">
        <v>99</v>
      </c>
      <c r="C106" t="s">
        <v>100</v>
      </c>
      <c r="D106" t="s">
        <v>872</v>
      </c>
      <c r="F106">
        <v>161</v>
      </c>
      <c r="G106" t="s">
        <v>1221</v>
      </c>
    </row>
    <row r="107" spans="1:7" x14ac:dyDescent="0.3">
      <c r="A107" t="s">
        <v>873</v>
      </c>
      <c r="B107" t="s">
        <v>102</v>
      </c>
      <c r="D107" t="s">
        <v>873</v>
      </c>
      <c r="F107">
        <v>162</v>
      </c>
      <c r="G107" t="s">
        <v>1222</v>
      </c>
    </row>
    <row r="108" spans="1:7" x14ac:dyDescent="0.3">
      <c r="A108" t="s">
        <v>874</v>
      </c>
      <c r="B108" t="s">
        <v>103</v>
      </c>
      <c r="D108" t="s">
        <v>874</v>
      </c>
      <c r="F108">
        <v>163</v>
      </c>
      <c r="G108" t="s">
        <v>1223</v>
      </c>
    </row>
    <row r="109" spans="1:7" x14ac:dyDescent="0.3">
      <c r="A109" t="s">
        <v>875</v>
      </c>
      <c r="B109" t="s">
        <v>116</v>
      </c>
      <c r="C109" t="s">
        <v>117</v>
      </c>
      <c r="D109" t="s">
        <v>875</v>
      </c>
      <c r="F109">
        <v>164</v>
      </c>
      <c r="G109" t="s">
        <v>1224</v>
      </c>
    </row>
    <row r="110" spans="1:7" x14ac:dyDescent="0.3">
      <c r="A110" t="s">
        <v>876</v>
      </c>
      <c r="B110" t="s">
        <v>119</v>
      </c>
      <c r="C110" t="s">
        <v>120</v>
      </c>
      <c r="D110" t="s">
        <v>876</v>
      </c>
      <c r="F110">
        <v>165</v>
      </c>
      <c r="G110" t="s">
        <v>1225</v>
      </c>
    </row>
    <row r="111" spans="1:7" x14ac:dyDescent="0.3">
      <c r="A111" t="s">
        <v>877</v>
      </c>
      <c r="B111" t="s">
        <v>121</v>
      </c>
      <c r="C111" t="s">
        <v>122</v>
      </c>
      <c r="D111" t="s">
        <v>877</v>
      </c>
      <c r="F111">
        <v>166</v>
      </c>
      <c r="G111" t="s">
        <v>1226</v>
      </c>
    </row>
    <row r="112" spans="1:7" x14ac:dyDescent="0.3">
      <c r="A112" t="s">
        <v>878</v>
      </c>
      <c r="B112" t="s">
        <v>124</v>
      </c>
      <c r="C112" t="s">
        <v>124</v>
      </c>
      <c r="D112" t="s">
        <v>878</v>
      </c>
      <c r="F112">
        <v>167</v>
      </c>
      <c r="G112" t="s">
        <v>1227</v>
      </c>
    </row>
    <row r="113" spans="1:7" x14ac:dyDescent="0.3">
      <c r="A113" t="s">
        <v>879</v>
      </c>
      <c r="B113" t="s">
        <v>126</v>
      </c>
      <c r="C113" t="s">
        <v>127</v>
      </c>
      <c r="D113" t="s">
        <v>879</v>
      </c>
      <c r="F113">
        <v>168</v>
      </c>
      <c r="G113" t="s">
        <v>1228</v>
      </c>
    </row>
    <row r="114" spans="1:7" x14ac:dyDescent="0.3">
      <c r="A114" t="s">
        <v>880</v>
      </c>
      <c r="B114" t="s">
        <v>1645</v>
      </c>
      <c r="D114" t="s">
        <v>880</v>
      </c>
      <c r="F114">
        <v>169</v>
      </c>
      <c r="G114" t="s">
        <v>1229</v>
      </c>
    </row>
    <row r="115" spans="1:7" x14ac:dyDescent="0.3">
      <c r="A115" t="s">
        <v>1704</v>
      </c>
      <c r="B115" t="s">
        <v>1646</v>
      </c>
      <c r="D115" t="s">
        <v>1704</v>
      </c>
      <c r="F115">
        <v>170</v>
      </c>
      <c r="G115" t="s">
        <v>1230</v>
      </c>
    </row>
    <row r="116" spans="1:7" x14ac:dyDescent="0.3">
      <c r="A116" t="s">
        <v>1705</v>
      </c>
      <c r="B116" t="s">
        <v>130</v>
      </c>
      <c r="C116" t="s">
        <v>131</v>
      </c>
      <c r="D116" t="s">
        <v>1705</v>
      </c>
      <c r="F116">
        <v>171</v>
      </c>
      <c r="G116" t="s">
        <v>1231</v>
      </c>
    </row>
    <row r="117" spans="1:7" x14ac:dyDescent="0.3">
      <c r="A117" t="s">
        <v>1706</v>
      </c>
      <c r="B117" t="s">
        <v>132</v>
      </c>
      <c r="D117" t="s">
        <v>1706</v>
      </c>
      <c r="F117">
        <v>172</v>
      </c>
      <c r="G117" t="s">
        <v>1232</v>
      </c>
    </row>
    <row r="118" spans="1:7" x14ac:dyDescent="0.3">
      <c r="A118" t="s">
        <v>1707</v>
      </c>
      <c r="B118" t="s">
        <v>1647</v>
      </c>
      <c r="D118" t="s">
        <v>1707</v>
      </c>
      <c r="F118">
        <v>173</v>
      </c>
      <c r="G118" t="s">
        <v>1233</v>
      </c>
    </row>
    <row r="119" spans="1:7" x14ac:dyDescent="0.3">
      <c r="A119" t="s">
        <v>881</v>
      </c>
      <c r="B119" t="s">
        <v>133</v>
      </c>
      <c r="C119" t="s">
        <v>133</v>
      </c>
      <c r="D119" t="s">
        <v>881</v>
      </c>
      <c r="F119">
        <v>174</v>
      </c>
      <c r="G119" t="s">
        <v>1234</v>
      </c>
    </row>
    <row r="120" spans="1:7" x14ac:dyDescent="0.3">
      <c r="A120" t="s">
        <v>882</v>
      </c>
      <c r="B120" t="s">
        <v>136</v>
      </c>
      <c r="D120" t="s">
        <v>882</v>
      </c>
      <c r="F120">
        <v>175</v>
      </c>
      <c r="G120" t="s">
        <v>1235</v>
      </c>
    </row>
    <row r="121" spans="1:7" x14ac:dyDescent="0.3">
      <c r="A121" t="s">
        <v>883</v>
      </c>
      <c r="B121" t="s">
        <v>137</v>
      </c>
      <c r="D121" t="s">
        <v>883</v>
      </c>
      <c r="F121">
        <v>176</v>
      </c>
      <c r="G121" t="s">
        <v>1236</v>
      </c>
    </row>
    <row r="122" spans="1:7" x14ac:dyDescent="0.3">
      <c r="A122" t="s">
        <v>884</v>
      </c>
      <c r="B122" t="s">
        <v>138</v>
      </c>
      <c r="D122" t="s">
        <v>884</v>
      </c>
      <c r="F122">
        <v>177</v>
      </c>
      <c r="G122" t="s">
        <v>1237</v>
      </c>
    </row>
    <row r="123" spans="1:7" x14ac:dyDescent="0.3">
      <c r="A123" t="s">
        <v>885</v>
      </c>
      <c r="B123" t="s">
        <v>140</v>
      </c>
      <c r="C123" t="s">
        <v>141</v>
      </c>
      <c r="D123" t="s">
        <v>885</v>
      </c>
      <c r="F123">
        <v>180</v>
      </c>
      <c r="G123" t="s">
        <v>1238</v>
      </c>
    </row>
    <row r="124" spans="1:7" x14ac:dyDescent="0.3">
      <c r="A124" t="s">
        <v>1708</v>
      </c>
      <c r="B124" s="13" t="s">
        <v>143</v>
      </c>
      <c r="C124" t="s">
        <v>143</v>
      </c>
      <c r="D124" t="s">
        <v>1708</v>
      </c>
      <c r="F124">
        <v>201</v>
      </c>
      <c r="G124" t="s">
        <v>1239</v>
      </c>
    </row>
    <row r="125" spans="1:7" x14ac:dyDescent="0.3">
      <c r="A125" t="s">
        <v>1709</v>
      </c>
      <c r="B125" t="s">
        <v>148</v>
      </c>
      <c r="C125" t="s">
        <v>149</v>
      </c>
      <c r="D125" t="s">
        <v>1709</v>
      </c>
      <c r="F125">
        <v>202</v>
      </c>
      <c r="G125" t="s">
        <v>1240</v>
      </c>
    </row>
    <row r="126" spans="1:7" x14ac:dyDescent="0.3">
      <c r="A126" t="s">
        <v>1710</v>
      </c>
      <c r="B126" t="s">
        <v>150</v>
      </c>
      <c r="C126" t="s">
        <v>151</v>
      </c>
      <c r="D126" t="s">
        <v>1710</v>
      </c>
      <c r="F126">
        <v>203</v>
      </c>
      <c r="G126" t="s">
        <v>1241</v>
      </c>
    </row>
    <row r="127" spans="1:7" x14ac:dyDescent="0.3">
      <c r="A127" t="s">
        <v>1711</v>
      </c>
      <c r="B127" t="s">
        <v>158</v>
      </c>
      <c r="C127" t="s">
        <v>159</v>
      </c>
      <c r="D127" t="s">
        <v>1711</v>
      </c>
      <c r="F127">
        <v>204</v>
      </c>
      <c r="G127" t="s">
        <v>1242</v>
      </c>
    </row>
    <row r="128" spans="1:7" x14ac:dyDescent="0.3">
      <c r="A128" t="s">
        <v>1712</v>
      </c>
      <c r="B128" t="s">
        <v>145</v>
      </c>
      <c r="C128" t="s">
        <v>146</v>
      </c>
      <c r="D128" t="s">
        <v>1712</v>
      </c>
      <c r="F128">
        <v>205</v>
      </c>
      <c r="G128" t="s">
        <v>1243</v>
      </c>
    </row>
    <row r="129" spans="1:7" x14ac:dyDescent="0.3">
      <c r="A129" t="s">
        <v>1713</v>
      </c>
      <c r="B129" t="s">
        <v>155</v>
      </c>
      <c r="C129" t="s">
        <v>156</v>
      </c>
      <c r="D129" t="s">
        <v>1713</v>
      </c>
      <c r="F129">
        <v>206</v>
      </c>
      <c r="G129" t="s">
        <v>1244</v>
      </c>
    </row>
    <row r="130" spans="1:7" x14ac:dyDescent="0.3">
      <c r="A130" t="s">
        <v>1714</v>
      </c>
      <c r="B130" t="s">
        <v>1914</v>
      </c>
      <c r="C130" t="s">
        <v>1914</v>
      </c>
      <c r="D130" t="s">
        <v>1714</v>
      </c>
      <c r="F130">
        <v>210</v>
      </c>
      <c r="G130" t="s">
        <v>1245</v>
      </c>
    </row>
    <row r="131" spans="1:7" x14ac:dyDescent="0.3">
      <c r="A131" t="s">
        <v>886</v>
      </c>
      <c r="B131" t="s">
        <v>166</v>
      </c>
      <c r="C131" t="s">
        <v>166</v>
      </c>
      <c r="D131" t="s">
        <v>886</v>
      </c>
      <c r="F131">
        <v>211</v>
      </c>
      <c r="G131" t="s">
        <v>1246</v>
      </c>
    </row>
    <row r="132" spans="1:7" x14ac:dyDescent="0.3">
      <c r="A132" t="s">
        <v>887</v>
      </c>
      <c r="B132" t="s">
        <v>183</v>
      </c>
      <c r="C132" t="s">
        <v>153</v>
      </c>
      <c r="D132" t="s">
        <v>887</v>
      </c>
      <c r="F132">
        <v>212</v>
      </c>
      <c r="G132" t="s">
        <v>1247</v>
      </c>
    </row>
    <row r="133" spans="1:7" x14ac:dyDescent="0.3">
      <c r="A133" t="s">
        <v>1715</v>
      </c>
      <c r="B133" t="s">
        <v>182</v>
      </c>
      <c r="D133" t="s">
        <v>1715</v>
      </c>
      <c r="F133">
        <v>213</v>
      </c>
      <c r="G133" t="s">
        <v>1248</v>
      </c>
    </row>
    <row r="134" spans="1:7" x14ac:dyDescent="0.3">
      <c r="A134" t="s">
        <v>1716</v>
      </c>
      <c r="B134" t="s">
        <v>171</v>
      </c>
      <c r="C134" t="s">
        <v>171</v>
      </c>
      <c r="D134" t="s">
        <v>1716</v>
      </c>
      <c r="F134">
        <v>214</v>
      </c>
      <c r="G134" t="s">
        <v>1249</v>
      </c>
    </row>
    <row r="135" spans="1:7" x14ac:dyDescent="0.3">
      <c r="A135" t="s">
        <v>1717</v>
      </c>
      <c r="B135" t="s">
        <v>174</v>
      </c>
      <c r="C135" t="s">
        <v>174</v>
      </c>
      <c r="D135" t="s">
        <v>1717</v>
      </c>
      <c r="F135">
        <v>215</v>
      </c>
      <c r="G135" t="s">
        <v>1250</v>
      </c>
    </row>
    <row r="136" spans="1:7" x14ac:dyDescent="0.3">
      <c r="A136" t="s">
        <v>1718</v>
      </c>
      <c r="B136" t="s">
        <v>173</v>
      </c>
      <c r="C136" t="s">
        <v>173</v>
      </c>
      <c r="D136" t="s">
        <v>1718</v>
      </c>
      <c r="F136">
        <v>216</v>
      </c>
      <c r="G136" t="s">
        <v>1251</v>
      </c>
    </row>
    <row r="137" spans="1:7" x14ac:dyDescent="0.3">
      <c r="A137" t="s">
        <v>1719</v>
      </c>
      <c r="B137" t="s">
        <v>169</v>
      </c>
      <c r="C137" t="s">
        <v>169</v>
      </c>
      <c r="D137" t="s">
        <v>1719</v>
      </c>
      <c r="F137">
        <v>217</v>
      </c>
      <c r="G137" t="s">
        <v>1252</v>
      </c>
    </row>
    <row r="138" spans="1:7" x14ac:dyDescent="0.3">
      <c r="A138" t="s">
        <v>888</v>
      </c>
      <c r="B138" t="s">
        <v>164</v>
      </c>
      <c r="C138" t="s">
        <v>164</v>
      </c>
      <c r="D138" t="s">
        <v>888</v>
      </c>
      <c r="F138">
        <v>220</v>
      </c>
      <c r="G138" t="s">
        <v>1253</v>
      </c>
    </row>
    <row r="139" spans="1:7" x14ac:dyDescent="0.3">
      <c r="A139" t="s">
        <v>1720</v>
      </c>
      <c r="B139" t="s">
        <v>170</v>
      </c>
      <c r="C139" t="s">
        <v>170</v>
      </c>
      <c r="D139" t="s">
        <v>1720</v>
      </c>
      <c r="F139">
        <v>221</v>
      </c>
      <c r="G139" t="s">
        <v>1254</v>
      </c>
    </row>
    <row r="140" spans="1:7" x14ac:dyDescent="0.3">
      <c r="A140" t="s">
        <v>1721</v>
      </c>
      <c r="B140" t="s">
        <v>178</v>
      </c>
      <c r="D140" t="s">
        <v>1721</v>
      </c>
      <c r="F140">
        <v>222</v>
      </c>
      <c r="G140" t="s">
        <v>1255</v>
      </c>
    </row>
    <row r="141" spans="1:7" x14ac:dyDescent="0.3">
      <c r="A141" t="s">
        <v>889</v>
      </c>
      <c r="B141" t="s">
        <v>179</v>
      </c>
      <c r="D141" t="s">
        <v>889</v>
      </c>
      <c r="F141">
        <v>223</v>
      </c>
      <c r="G141" t="s">
        <v>658</v>
      </c>
    </row>
    <row r="142" spans="1:7" x14ac:dyDescent="0.3">
      <c r="A142" t="s">
        <v>1722</v>
      </c>
      <c r="B142" t="s">
        <v>161</v>
      </c>
      <c r="C142" t="s">
        <v>161</v>
      </c>
      <c r="D142" t="s">
        <v>1722</v>
      </c>
      <c r="F142">
        <v>224</v>
      </c>
      <c r="G142" t="s">
        <v>659</v>
      </c>
    </row>
    <row r="143" spans="1:7" x14ac:dyDescent="0.3">
      <c r="A143" t="s">
        <v>1723</v>
      </c>
      <c r="B143" t="s">
        <v>177</v>
      </c>
      <c r="C143" t="s">
        <v>177</v>
      </c>
      <c r="D143" t="s">
        <v>1723</v>
      </c>
      <c r="F143">
        <v>225</v>
      </c>
      <c r="G143" t="s">
        <v>702</v>
      </c>
    </row>
    <row r="144" spans="1:7" x14ac:dyDescent="0.3">
      <c r="A144" t="s">
        <v>1724</v>
      </c>
      <c r="B144" t="s">
        <v>168</v>
      </c>
      <c r="C144" t="s">
        <v>168</v>
      </c>
      <c r="D144" t="s">
        <v>1724</v>
      </c>
      <c r="F144">
        <v>226</v>
      </c>
      <c r="G144" t="s">
        <v>1256</v>
      </c>
    </row>
    <row r="145" spans="1:7" x14ac:dyDescent="0.3">
      <c r="A145" t="s">
        <v>1725</v>
      </c>
      <c r="B145" t="s">
        <v>176</v>
      </c>
      <c r="C145" t="s">
        <v>176</v>
      </c>
      <c r="D145" t="s">
        <v>1725</v>
      </c>
      <c r="F145">
        <v>230</v>
      </c>
      <c r="G145" t="s">
        <v>1257</v>
      </c>
    </row>
    <row r="146" spans="1:7" x14ac:dyDescent="0.3">
      <c r="A146" t="s">
        <v>890</v>
      </c>
      <c r="B146" t="s">
        <v>2076</v>
      </c>
      <c r="C146" t="s">
        <v>74</v>
      </c>
      <c r="D146" t="s">
        <v>890</v>
      </c>
      <c r="F146">
        <v>260</v>
      </c>
      <c r="G146" t="s">
        <v>694</v>
      </c>
    </row>
    <row r="147" spans="1:7" x14ac:dyDescent="0.3">
      <c r="A147" t="s">
        <v>891</v>
      </c>
      <c r="B147" t="s">
        <v>1665</v>
      </c>
      <c r="C147" t="s">
        <v>98</v>
      </c>
      <c r="D147" t="s">
        <v>891</v>
      </c>
      <c r="F147">
        <v>300</v>
      </c>
      <c r="G147" t="s">
        <v>1258</v>
      </c>
    </row>
    <row r="148" spans="1:7" x14ac:dyDescent="0.3">
      <c r="A148" t="s">
        <v>892</v>
      </c>
      <c r="B148" t="s">
        <v>1648</v>
      </c>
      <c r="C148" t="s">
        <v>73</v>
      </c>
      <c r="D148" t="s">
        <v>892</v>
      </c>
      <c r="F148">
        <v>301</v>
      </c>
      <c r="G148" t="s">
        <v>1259</v>
      </c>
    </row>
    <row r="149" spans="1:7" x14ac:dyDescent="0.3">
      <c r="A149" t="s">
        <v>893</v>
      </c>
      <c r="B149" t="s">
        <v>1649</v>
      </c>
      <c r="C149" t="s">
        <v>76</v>
      </c>
      <c r="D149" t="s">
        <v>893</v>
      </c>
      <c r="F149">
        <v>302</v>
      </c>
      <c r="G149" t="s">
        <v>1260</v>
      </c>
    </row>
    <row r="150" spans="1:7" x14ac:dyDescent="0.3">
      <c r="A150" t="s">
        <v>894</v>
      </c>
      <c r="B150" t="s">
        <v>1650</v>
      </c>
      <c r="C150" t="s">
        <v>78</v>
      </c>
      <c r="D150" t="s">
        <v>894</v>
      </c>
      <c r="F150">
        <v>303</v>
      </c>
      <c r="G150" t="s">
        <v>1261</v>
      </c>
    </row>
    <row r="151" spans="1:7" x14ac:dyDescent="0.3">
      <c r="A151" t="s">
        <v>895</v>
      </c>
      <c r="B151" t="s">
        <v>90</v>
      </c>
      <c r="D151" t="s">
        <v>895</v>
      </c>
      <c r="F151">
        <v>304</v>
      </c>
      <c r="G151" t="s">
        <v>1262</v>
      </c>
    </row>
    <row r="152" spans="1:7" x14ac:dyDescent="0.3">
      <c r="A152" t="s">
        <v>896</v>
      </c>
      <c r="B152" t="s">
        <v>1651</v>
      </c>
      <c r="C152" t="s">
        <v>97</v>
      </c>
      <c r="D152" t="s">
        <v>896</v>
      </c>
      <c r="F152">
        <v>305</v>
      </c>
      <c r="G152" t="s">
        <v>1263</v>
      </c>
    </row>
    <row r="153" spans="1:7" x14ac:dyDescent="0.3">
      <c r="A153" t="s">
        <v>897</v>
      </c>
      <c r="B153" t="s">
        <v>1653</v>
      </c>
      <c r="D153" t="s">
        <v>897</v>
      </c>
      <c r="F153">
        <v>311</v>
      </c>
      <c r="G153" t="s">
        <v>1264</v>
      </c>
    </row>
    <row r="154" spans="1:7" x14ac:dyDescent="0.3">
      <c r="A154" t="s">
        <v>898</v>
      </c>
      <c r="B154" t="s">
        <v>1661</v>
      </c>
      <c r="C154" t="s">
        <v>93</v>
      </c>
      <c r="D154" t="s">
        <v>898</v>
      </c>
      <c r="F154">
        <v>312</v>
      </c>
      <c r="G154" t="s">
        <v>1265</v>
      </c>
    </row>
    <row r="155" spans="1:7" x14ac:dyDescent="0.3">
      <c r="A155" t="s">
        <v>899</v>
      </c>
      <c r="B155" t="s">
        <v>88</v>
      </c>
      <c r="C155" t="s">
        <v>89</v>
      </c>
      <c r="D155" t="s">
        <v>899</v>
      </c>
      <c r="F155">
        <v>313</v>
      </c>
      <c r="G155" t="s">
        <v>1266</v>
      </c>
    </row>
    <row r="156" spans="1:7" x14ac:dyDescent="0.3">
      <c r="A156" t="s">
        <v>900</v>
      </c>
      <c r="B156" t="s">
        <v>1652</v>
      </c>
      <c r="D156" t="s">
        <v>900</v>
      </c>
      <c r="F156">
        <v>314</v>
      </c>
      <c r="G156" t="s">
        <v>1267</v>
      </c>
    </row>
    <row r="157" spans="1:7" x14ac:dyDescent="0.3">
      <c r="A157" t="s">
        <v>901</v>
      </c>
      <c r="B157" t="s">
        <v>1654</v>
      </c>
      <c r="C157" t="s">
        <v>84</v>
      </c>
      <c r="D157" t="s">
        <v>901</v>
      </c>
      <c r="F157">
        <v>315</v>
      </c>
      <c r="G157" t="s">
        <v>116</v>
      </c>
    </row>
    <row r="158" spans="1:7" x14ac:dyDescent="0.3">
      <c r="A158" t="s">
        <v>902</v>
      </c>
      <c r="B158" t="s">
        <v>1655</v>
      </c>
      <c r="C158" t="s">
        <v>85</v>
      </c>
      <c r="D158" t="s">
        <v>902</v>
      </c>
      <c r="F158">
        <v>316</v>
      </c>
      <c r="G158" t="s">
        <v>121</v>
      </c>
    </row>
    <row r="159" spans="1:7" x14ac:dyDescent="0.3">
      <c r="A159" t="s">
        <v>903</v>
      </c>
      <c r="B159" t="s">
        <v>1658</v>
      </c>
      <c r="D159" t="s">
        <v>903</v>
      </c>
      <c r="F159">
        <v>317</v>
      </c>
      <c r="G159" t="s">
        <v>1268</v>
      </c>
    </row>
    <row r="160" spans="1:7" x14ac:dyDescent="0.3">
      <c r="A160" t="s">
        <v>904</v>
      </c>
      <c r="B160" t="s">
        <v>1659</v>
      </c>
      <c r="D160" t="s">
        <v>904</v>
      </c>
      <c r="F160">
        <v>318</v>
      </c>
      <c r="G160" t="s">
        <v>1269</v>
      </c>
    </row>
    <row r="161" spans="1:7" x14ac:dyDescent="0.3">
      <c r="A161" t="s">
        <v>905</v>
      </c>
      <c r="B161" t="s">
        <v>1656</v>
      </c>
      <c r="C161" t="s">
        <v>86</v>
      </c>
      <c r="D161" t="s">
        <v>905</v>
      </c>
      <c r="F161">
        <v>319</v>
      </c>
      <c r="G161" t="s">
        <v>1270</v>
      </c>
    </row>
    <row r="162" spans="1:7" x14ac:dyDescent="0.3">
      <c r="A162" t="s">
        <v>906</v>
      </c>
      <c r="B162" t="s">
        <v>1657</v>
      </c>
      <c r="C162" t="s">
        <v>87</v>
      </c>
      <c r="D162" t="s">
        <v>906</v>
      </c>
      <c r="F162">
        <v>321</v>
      </c>
      <c r="G162" t="s">
        <v>1271</v>
      </c>
    </row>
    <row r="163" spans="1:7" x14ac:dyDescent="0.3">
      <c r="A163" t="s">
        <v>907</v>
      </c>
      <c r="B163" t="s">
        <v>1660</v>
      </c>
      <c r="C163" t="s">
        <v>92</v>
      </c>
      <c r="D163" t="s">
        <v>907</v>
      </c>
      <c r="F163">
        <v>323</v>
      </c>
      <c r="G163" t="s">
        <v>1272</v>
      </c>
    </row>
    <row r="164" spans="1:7" x14ac:dyDescent="0.3">
      <c r="A164" t="s">
        <v>908</v>
      </c>
      <c r="B164" t="s">
        <v>1662</v>
      </c>
      <c r="C164" t="s">
        <v>94</v>
      </c>
      <c r="D164" t="s">
        <v>908</v>
      </c>
      <c r="F164">
        <v>324</v>
      </c>
      <c r="G164" t="s">
        <v>1273</v>
      </c>
    </row>
    <row r="165" spans="1:7" x14ac:dyDescent="0.3">
      <c r="A165" t="s">
        <v>909</v>
      </c>
      <c r="B165" t="s">
        <v>1663</v>
      </c>
      <c r="C165" t="s">
        <v>95</v>
      </c>
      <c r="D165" t="s">
        <v>909</v>
      </c>
      <c r="F165">
        <v>325</v>
      </c>
      <c r="G165" t="s">
        <v>1274</v>
      </c>
    </row>
    <row r="166" spans="1:7" x14ac:dyDescent="0.3">
      <c r="A166" t="s">
        <v>910</v>
      </c>
      <c r="B166" t="s">
        <v>1664</v>
      </c>
      <c r="C166" t="s">
        <v>96</v>
      </c>
      <c r="D166" t="s">
        <v>910</v>
      </c>
      <c r="F166">
        <v>326</v>
      </c>
      <c r="G166" t="s">
        <v>1275</v>
      </c>
    </row>
    <row r="167" spans="1:7" x14ac:dyDescent="0.3">
      <c r="A167" t="s">
        <v>911</v>
      </c>
      <c r="B167" t="s">
        <v>114</v>
      </c>
      <c r="C167" t="s">
        <v>115</v>
      </c>
      <c r="D167" t="s">
        <v>911</v>
      </c>
      <c r="F167">
        <v>331</v>
      </c>
      <c r="G167" t="s">
        <v>1276</v>
      </c>
    </row>
    <row r="168" spans="1:7" x14ac:dyDescent="0.3">
      <c r="A168" t="s">
        <v>912</v>
      </c>
      <c r="B168" t="s">
        <v>108</v>
      </c>
      <c r="C168" t="s">
        <v>109</v>
      </c>
      <c r="D168" t="s">
        <v>912</v>
      </c>
      <c r="F168">
        <v>332</v>
      </c>
      <c r="G168" t="s">
        <v>1277</v>
      </c>
    </row>
    <row r="169" spans="1:7" x14ac:dyDescent="0.3">
      <c r="A169" t="s">
        <v>913</v>
      </c>
      <c r="B169" t="s">
        <v>111</v>
      </c>
      <c r="C169" t="s">
        <v>112</v>
      </c>
      <c r="D169" t="s">
        <v>913</v>
      </c>
      <c r="F169">
        <v>333</v>
      </c>
      <c r="G169" t="s">
        <v>1278</v>
      </c>
    </row>
    <row r="170" spans="1:7" x14ac:dyDescent="0.3">
      <c r="A170" t="s">
        <v>914</v>
      </c>
      <c r="B170" t="s">
        <v>104</v>
      </c>
      <c r="D170" t="s">
        <v>914</v>
      </c>
      <c r="F170">
        <v>335</v>
      </c>
      <c r="G170" t="s">
        <v>1279</v>
      </c>
    </row>
    <row r="171" spans="1:7" x14ac:dyDescent="0.3">
      <c r="A171" t="s">
        <v>915</v>
      </c>
      <c r="B171" t="s">
        <v>105</v>
      </c>
      <c r="D171" t="s">
        <v>915</v>
      </c>
      <c r="F171">
        <v>340</v>
      </c>
      <c r="G171" t="s">
        <v>1280</v>
      </c>
    </row>
    <row r="172" spans="1:7" x14ac:dyDescent="0.3">
      <c r="A172" t="s">
        <v>916</v>
      </c>
      <c r="B172" t="s">
        <v>106</v>
      </c>
      <c r="D172" t="s">
        <v>916</v>
      </c>
      <c r="F172">
        <v>341</v>
      </c>
      <c r="G172" t="s">
        <v>1281</v>
      </c>
    </row>
    <row r="173" spans="1:7" x14ac:dyDescent="0.3">
      <c r="A173" t="s">
        <v>917</v>
      </c>
      <c r="B173" t="s">
        <v>107</v>
      </c>
      <c r="D173" t="s">
        <v>917</v>
      </c>
      <c r="F173">
        <v>342</v>
      </c>
      <c r="G173" t="s">
        <v>1282</v>
      </c>
    </row>
    <row r="174" spans="1:7" x14ac:dyDescent="0.3">
      <c r="A174" t="s">
        <v>918</v>
      </c>
      <c r="B174" t="s">
        <v>1920</v>
      </c>
      <c r="D174" t="s">
        <v>918</v>
      </c>
      <c r="F174">
        <v>343</v>
      </c>
      <c r="G174" t="s">
        <v>1283</v>
      </c>
    </row>
    <row r="175" spans="1:7" x14ac:dyDescent="0.3">
      <c r="A175" t="s">
        <v>919</v>
      </c>
      <c r="B175" t="s">
        <v>1917</v>
      </c>
      <c r="D175" t="s">
        <v>919</v>
      </c>
      <c r="F175">
        <v>344</v>
      </c>
      <c r="G175" t="s">
        <v>1284</v>
      </c>
    </row>
    <row r="176" spans="1:7" x14ac:dyDescent="0.3">
      <c r="A176" t="s">
        <v>920</v>
      </c>
      <c r="B176" t="s">
        <v>1504</v>
      </c>
      <c r="D176" t="s">
        <v>920</v>
      </c>
      <c r="F176">
        <v>345</v>
      </c>
      <c r="G176" t="s">
        <v>1285</v>
      </c>
    </row>
    <row r="177" spans="1:7" x14ac:dyDescent="0.3">
      <c r="A177" t="s">
        <v>921</v>
      </c>
      <c r="B177" t="s">
        <v>1918</v>
      </c>
      <c r="D177" t="s">
        <v>921</v>
      </c>
      <c r="F177">
        <v>346</v>
      </c>
      <c r="G177" t="s">
        <v>1286</v>
      </c>
    </row>
    <row r="178" spans="1:7" x14ac:dyDescent="0.3">
      <c r="A178" t="s">
        <v>922</v>
      </c>
      <c r="B178" t="s">
        <v>1919</v>
      </c>
      <c r="D178" t="s">
        <v>922</v>
      </c>
      <c r="F178">
        <v>347</v>
      </c>
      <c r="G178" t="s">
        <v>1287</v>
      </c>
    </row>
    <row r="179" spans="1:7" x14ac:dyDescent="0.3">
      <c r="A179" t="s">
        <v>923</v>
      </c>
      <c r="B179" s="6" t="s">
        <v>1667</v>
      </c>
      <c r="C179" t="s">
        <v>322</v>
      </c>
      <c r="D179" t="s">
        <v>923</v>
      </c>
      <c r="F179">
        <v>348</v>
      </c>
      <c r="G179" t="s">
        <v>1288</v>
      </c>
    </row>
    <row r="180" spans="1:7" x14ac:dyDescent="0.3">
      <c r="A180" t="s">
        <v>1726</v>
      </c>
      <c r="B180" t="s">
        <v>324</v>
      </c>
      <c r="C180" t="s">
        <v>325</v>
      </c>
      <c r="D180" t="s">
        <v>1726</v>
      </c>
      <c r="F180">
        <v>349</v>
      </c>
      <c r="G180" t="s">
        <v>1289</v>
      </c>
    </row>
    <row r="181" spans="1:7" x14ac:dyDescent="0.3">
      <c r="A181" t="s">
        <v>924</v>
      </c>
      <c r="B181" t="s">
        <v>1666</v>
      </c>
      <c r="C181" t="s">
        <v>11</v>
      </c>
      <c r="D181" t="s">
        <v>924</v>
      </c>
      <c r="F181">
        <v>350</v>
      </c>
      <c r="G181" t="s">
        <v>1290</v>
      </c>
    </row>
    <row r="182" spans="1:7" x14ac:dyDescent="0.3">
      <c r="A182" t="s">
        <v>925</v>
      </c>
      <c r="B182" t="s">
        <v>328</v>
      </c>
      <c r="C182" t="s">
        <v>1121</v>
      </c>
      <c r="D182" t="s">
        <v>925</v>
      </c>
      <c r="F182">
        <v>351</v>
      </c>
      <c r="G182" t="s">
        <v>1291</v>
      </c>
    </row>
    <row r="183" spans="1:7" x14ac:dyDescent="0.3">
      <c r="A183" t="s">
        <v>926</v>
      </c>
      <c r="B183" t="s">
        <v>331</v>
      </c>
      <c r="C183" t="s">
        <v>332</v>
      </c>
      <c r="D183" t="s">
        <v>926</v>
      </c>
      <c r="F183">
        <v>353</v>
      </c>
      <c r="G183" t="s">
        <v>1292</v>
      </c>
    </row>
    <row r="184" spans="1:7" x14ac:dyDescent="0.3">
      <c r="A184" t="s">
        <v>1727</v>
      </c>
      <c r="B184" t="s">
        <v>334</v>
      </c>
      <c r="C184" t="s">
        <v>335</v>
      </c>
      <c r="D184" t="s">
        <v>1727</v>
      </c>
      <c r="F184">
        <v>355</v>
      </c>
      <c r="G184" t="s">
        <v>1293</v>
      </c>
    </row>
    <row r="185" spans="1:7" x14ac:dyDescent="0.3">
      <c r="A185" t="s">
        <v>1728</v>
      </c>
      <c r="B185" t="s">
        <v>1952</v>
      </c>
      <c r="C185" t="s">
        <v>708</v>
      </c>
      <c r="D185" t="s">
        <v>1728</v>
      </c>
      <c r="F185">
        <v>356</v>
      </c>
      <c r="G185" t="s">
        <v>1294</v>
      </c>
    </row>
    <row r="186" spans="1:7" x14ac:dyDescent="0.3">
      <c r="A186" t="s">
        <v>1729</v>
      </c>
      <c r="B186" t="s">
        <v>339</v>
      </c>
      <c r="C186" t="s">
        <v>340</v>
      </c>
      <c r="D186" t="s">
        <v>1729</v>
      </c>
      <c r="F186">
        <v>357</v>
      </c>
      <c r="G186" t="s">
        <v>1295</v>
      </c>
    </row>
    <row r="187" spans="1:7" x14ac:dyDescent="0.3">
      <c r="A187" t="s">
        <v>1730</v>
      </c>
      <c r="B187" t="s">
        <v>337</v>
      </c>
      <c r="D187" t="s">
        <v>1730</v>
      </c>
      <c r="F187">
        <v>358</v>
      </c>
      <c r="G187" t="s">
        <v>1296</v>
      </c>
    </row>
    <row r="188" spans="1:7" x14ac:dyDescent="0.3">
      <c r="A188" t="s">
        <v>1731</v>
      </c>
      <c r="B188" t="s">
        <v>343</v>
      </c>
      <c r="D188" t="s">
        <v>1731</v>
      </c>
      <c r="F188">
        <v>360</v>
      </c>
      <c r="G188" t="s">
        <v>1297</v>
      </c>
    </row>
    <row r="189" spans="1:7" x14ac:dyDescent="0.3">
      <c r="A189" t="s">
        <v>1953</v>
      </c>
      <c r="B189" t="s">
        <v>345</v>
      </c>
      <c r="D189" t="s">
        <v>1953</v>
      </c>
      <c r="F189">
        <v>361</v>
      </c>
      <c r="G189" t="s">
        <v>1298</v>
      </c>
    </row>
    <row r="190" spans="1:7" x14ac:dyDescent="0.3">
      <c r="A190" t="s">
        <v>927</v>
      </c>
      <c r="B190" t="s">
        <v>349</v>
      </c>
      <c r="C190" t="s">
        <v>350</v>
      </c>
      <c r="D190" t="s">
        <v>927</v>
      </c>
      <c r="F190">
        <v>362</v>
      </c>
      <c r="G190" t="s">
        <v>1299</v>
      </c>
    </row>
    <row r="191" spans="1:7" x14ac:dyDescent="0.3">
      <c r="A191" t="s">
        <v>1732</v>
      </c>
      <c r="B191" t="s">
        <v>351</v>
      </c>
      <c r="C191" t="s">
        <v>352</v>
      </c>
      <c r="D191" t="s">
        <v>1732</v>
      </c>
      <c r="F191">
        <v>363</v>
      </c>
      <c r="G191" t="s">
        <v>1300</v>
      </c>
    </row>
    <row r="192" spans="1:7" x14ac:dyDescent="0.3">
      <c r="A192" t="s">
        <v>928</v>
      </c>
      <c r="B192" t="s">
        <v>353</v>
      </c>
      <c r="C192" t="s">
        <v>354</v>
      </c>
      <c r="D192" t="s">
        <v>928</v>
      </c>
      <c r="F192">
        <v>364</v>
      </c>
      <c r="G192" t="s">
        <v>1301</v>
      </c>
    </row>
    <row r="193" spans="1:7" x14ac:dyDescent="0.3">
      <c r="A193" t="s">
        <v>929</v>
      </c>
      <c r="B193" t="s">
        <v>355</v>
      </c>
      <c r="C193" t="s">
        <v>356</v>
      </c>
      <c r="D193" t="s">
        <v>929</v>
      </c>
      <c r="F193">
        <v>365</v>
      </c>
      <c r="G193" t="s">
        <v>1302</v>
      </c>
    </row>
    <row r="194" spans="1:7" x14ac:dyDescent="0.3">
      <c r="A194" t="s">
        <v>930</v>
      </c>
      <c r="B194" t="s">
        <v>360</v>
      </c>
      <c r="C194" t="s">
        <v>361</v>
      </c>
      <c r="D194" t="s">
        <v>930</v>
      </c>
      <c r="F194">
        <v>366</v>
      </c>
      <c r="G194" t="s">
        <v>1303</v>
      </c>
    </row>
    <row r="195" spans="1:7" x14ac:dyDescent="0.3">
      <c r="A195" t="s">
        <v>931</v>
      </c>
      <c r="B195" t="s">
        <v>362</v>
      </c>
      <c r="C195" t="s">
        <v>363</v>
      </c>
      <c r="D195" t="s">
        <v>931</v>
      </c>
      <c r="F195">
        <v>367</v>
      </c>
      <c r="G195" t="s">
        <v>1304</v>
      </c>
    </row>
    <row r="196" spans="1:7" x14ac:dyDescent="0.3">
      <c r="A196" t="s">
        <v>1957</v>
      </c>
      <c r="B196" t="s">
        <v>1956</v>
      </c>
      <c r="C196" t="s">
        <v>1958</v>
      </c>
      <c r="D196" t="s">
        <v>1957</v>
      </c>
      <c r="F196">
        <v>368</v>
      </c>
      <c r="G196" t="s">
        <v>1305</v>
      </c>
    </row>
    <row r="197" spans="1:7" x14ac:dyDescent="0.3">
      <c r="A197" t="s">
        <v>932</v>
      </c>
      <c r="B197" t="s">
        <v>365</v>
      </c>
      <c r="C197" t="s">
        <v>365</v>
      </c>
      <c r="D197" t="s">
        <v>932</v>
      </c>
      <c r="F197">
        <v>369</v>
      </c>
      <c r="G197" t="s">
        <v>1306</v>
      </c>
    </row>
    <row r="198" spans="1:7" x14ac:dyDescent="0.3">
      <c r="A198" t="s">
        <v>933</v>
      </c>
      <c r="B198" t="s">
        <v>366</v>
      </c>
      <c r="C198" t="s">
        <v>367</v>
      </c>
      <c r="D198" t="s">
        <v>933</v>
      </c>
      <c r="F198">
        <v>370</v>
      </c>
      <c r="G198" t="s">
        <v>1307</v>
      </c>
    </row>
    <row r="199" spans="1:7" x14ac:dyDescent="0.3">
      <c r="A199" t="s">
        <v>934</v>
      </c>
      <c r="B199" t="s">
        <v>368</v>
      </c>
      <c r="C199" t="s">
        <v>369</v>
      </c>
      <c r="D199" t="s">
        <v>934</v>
      </c>
      <c r="F199">
        <v>371</v>
      </c>
      <c r="G199" t="s">
        <v>1308</v>
      </c>
    </row>
    <row r="200" spans="1:7" x14ac:dyDescent="0.3">
      <c r="A200" t="s">
        <v>935</v>
      </c>
      <c r="B200" t="s">
        <v>370</v>
      </c>
      <c r="C200" t="s">
        <v>371</v>
      </c>
      <c r="D200" t="s">
        <v>935</v>
      </c>
      <c r="F200">
        <v>372</v>
      </c>
      <c r="G200" t="s">
        <v>1309</v>
      </c>
    </row>
    <row r="201" spans="1:7" x14ac:dyDescent="0.3">
      <c r="A201" t="s">
        <v>936</v>
      </c>
      <c r="B201" t="s">
        <v>373</v>
      </c>
      <c r="C201" t="s">
        <v>374</v>
      </c>
      <c r="D201" t="s">
        <v>936</v>
      </c>
      <c r="F201">
        <v>373</v>
      </c>
      <c r="G201" t="s">
        <v>1310</v>
      </c>
    </row>
    <row r="202" spans="1:7" x14ac:dyDescent="0.3">
      <c r="A202" t="s">
        <v>937</v>
      </c>
      <c r="B202" t="s">
        <v>376</v>
      </c>
      <c r="C202" t="s">
        <v>377</v>
      </c>
      <c r="D202" t="s">
        <v>937</v>
      </c>
      <c r="F202">
        <v>374</v>
      </c>
      <c r="G202" t="s">
        <v>1311</v>
      </c>
    </row>
    <row r="203" spans="1:7" x14ac:dyDescent="0.3">
      <c r="A203" t="s">
        <v>938</v>
      </c>
      <c r="B203" t="s">
        <v>378</v>
      </c>
      <c r="C203" t="s">
        <v>379</v>
      </c>
      <c r="D203" t="s">
        <v>938</v>
      </c>
      <c r="F203">
        <v>375</v>
      </c>
      <c r="G203" t="s">
        <v>1312</v>
      </c>
    </row>
    <row r="204" spans="1:7" x14ac:dyDescent="0.3">
      <c r="A204" t="s">
        <v>939</v>
      </c>
      <c r="B204" t="s">
        <v>382</v>
      </c>
      <c r="C204" t="s">
        <v>383</v>
      </c>
      <c r="D204" t="s">
        <v>939</v>
      </c>
      <c r="F204">
        <v>380</v>
      </c>
      <c r="G204" t="s">
        <v>1313</v>
      </c>
    </row>
    <row r="205" spans="1:7" x14ac:dyDescent="0.3">
      <c r="A205" t="s">
        <v>940</v>
      </c>
      <c r="B205" t="s">
        <v>1982</v>
      </c>
      <c r="C205" t="s">
        <v>385</v>
      </c>
      <c r="D205" t="s">
        <v>940</v>
      </c>
      <c r="F205">
        <v>381</v>
      </c>
      <c r="G205" t="s">
        <v>1314</v>
      </c>
    </row>
    <row r="206" spans="1:7" x14ac:dyDescent="0.3">
      <c r="A206" t="s">
        <v>941</v>
      </c>
      <c r="B206" t="s">
        <v>387</v>
      </c>
      <c r="C206" t="s">
        <v>388</v>
      </c>
      <c r="D206" t="s">
        <v>941</v>
      </c>
      <c r="F206">
        <v>382</v>
      </c>
      <c r="G206" t="s">
        <v>1315</v>
      </c>
    </row>
    <row r="207" spans="1:7" x14ac:dyDescent="0.3">
      <c r="A207" t="s">
        <v>942</v>
      </c>
      <c r="B207" t="s">
        <v>390</v>
      </c>
      <c r="C207" t="s">
        <v>390</v>
      </c>
      <c r="D207" t="s">
        <v>942</v>
      </c>
      <c r="F207">
        <v>383</v>
      </c>
      <c r="G207" t="s">
        <v>1316</v>
      </c>
    </row>
    <row r="208" spans="1:7" x14ac:dyDescent="0.3">
      <c r="A208" t="s">
        <v>943</v>
      </c>
      <c r="B208" t="s">
        <v>392</v>
      </c>
      <c r="C208" t="s">
        <v>393</v>
      </c>
      <c r="D208" t="s">
        <v>943</v>
      </c>
      <c r="F208">
        <v>384</v>
      </c>
      <c r="G208" t="s">
        <v>1317</v>
      </c>
    </row>
    <row r="209" spans="1:7" x14ac:dyDescent="0.3">
      <c r="A209" t="s">
        <v>944</v>
      </c>
      <c r="B209" t="s">
        <v>394</v>
      </c>
      <c r="C209" t="s">
        <v>394</v>
      </c>
      <c r="D209" t="s">
        <v>944</v>
      </c>
      <c r="F209">
        <v>385</v>
      </c>
      <c r="G209" t="s">
        <v>1318</v>
      </c>
    </row>
    <row r="210" spans="1:7" x14ac:dyDescent="0.3">
      <c r="A210" t="s">
        <v>945</v>
      </c>
      <c r="B210" t="s">
        <v>395</v>
      </c>
      <c r="D210" t="s">
        <v>945</v>
      </c>
      <c r="F210">
        <v>386</v>
      </c>
      <c r="G210" t="s">
        <v>1319</v>
      </c>
    </row>
    <row r="211" spans="1:7" x14ac:dyDescent="0.3">
      <c r="A211" t="s">
        <v>946</v>
      </c>
      <c r="B211" t="s">
        <v>396</v>
      </c>
      <c r="D211" t="s">
        <v>946</v>
      </c>
      <c r="F211">
        <v>387</v>
      </c>
      <c r="G211" t="s">
        <v>1320</v>
      </c>
    </row>
    <row r="212" spans="1:7" x14ac:dyDescent="0.3">
      <c r="A212" t="s">
        <v>947</v>
      </c>
      <c r="B212" t="s">
        <v>397</v>
      </c>
      <c r="D212" t="s">
        <v>947</v>
      </c>
      <c r="F212">
        <v>390</v>
      </c>
      <c r="G212" t="s">
        <v>1321</v>
      </c>
    </row>
    <row r="213" spans="1:7" x14ac:dyDescent="0.3">
      <c r="A213" t="s">
        <v>948</v>
      </c>
      <c r="B213" t="s">
        <v>398</v>
      </c>
      <c r="D213" t="s">
        <v>948</v>
      </c>
      <c r="F213">
        <v>391</v>
      </c>
      <c r="G213" t="s">
        <v>1322</v>
      </c>
    </row>
    <row r="214" spans="1:7" x14ac:dyDescent="0.3">
      <c r="A214" t="s">
        <v>949</v>
      </c>
      <c r="B214" t="s">
        <v>382</v>
      </c>
      <c r="D214" t="s">
        <v>949</v>
      </c>
      <c r="F214">
        <v>392</v>
      </c>
      <c r="G214" t="s">
        <v>1323</v>
      </c>
    </row>
    <row r="215" spans="1:7" x14ac:dyDescent="0.3">
      <c r="A215" t="s">
        <v>950</v>
      </c>
      <c r="B215" t="s">
        <v>399</v>
      </c>
      <c r="C215" t="s">
        <v>399</v>
      </c>
      <c r="D215" t="s">
        <v>950</v>
      </c>
      <c r="F215">
        <v>393</v>
      </c>
      <c r="G215" t="s">
        <v>1324</v>
      </c>
    </row>
    <row r="216" spans="1:7" x14ac:dyDescent="0.3">
      <c r="A216" t="s">
        <v>951</v>
      </c>
      <c r="B216" t="s">
        <v>400</v>
      </c>
      <c r="C216" t="s">
        <v>400</v>
      </c>
      <c r="D216" t="s">
        <v>951</v>
      </c>
      <c r="F216">
        <v>401</v>
      </c>
      <c r="G216" t="s">
        <v>1325</v>
      </c>
    </row>
    <row r="217" spans="1:7" x14ac:dyDescent="0.3">
      <c r="A217" t="s">
        <v>952</v>
      </c>
      <c r="B217" t="s">
        <v>401</v>
      </c>
      <c r="C217" t="s">
        <v>402</v>
      </c>
      <c r="D217" t="s">
        <v>952</v>
      </c>
      <c r="F217">
        <v>402</v>
      </c>
      <c r="G217" t="s">
        <v>1326</v>
      </c>
    </row>
    <row r="218" spans="1:7" x14ac:dyDescent="0.3">
      <c r="A218" t="s">
        <v>953</v>
      </c>
      <c r="B218" t="s">
        <v>404</v>
      </c>
      <c r="C218" t="s">
        <v>405</v>
      </c>
      <c r="D218" t="s">
        <v>953</v>
      </c>
      <c r="F218">
        <v>403</v>
      </c>
      <c r="G218" t="s">
        <v>1327</v>
      </c>
    </row>
    <row r="219" spans="1:7" x14ac:dyDescent="0.3">
      <c r="A219" t="s">
        <v>954</v>
      </c>
      <c r="B219" t="s">
        <v>406</v>
      </c>
      <c r="C219" t="s">
        <v>406</v>
      </c>
      <c r="D219" t="s">
        <v>954</v>
      </c>
      <c r="F219">
        <v>404</v>
      </c>
      <c r="G219" t="s">
        <v>1328</v>
      </c>
    </row>
    <row r="220" spans="1:7" x14ac:dyDescent="0.3">
      <c r="A220" t="s">
        <v>955</v>
      </c>
      <c r="B220" t="s">
        <v>407</v>
      </c>
      <c r="D220" t="s">
        <v>955</v>
      </c>
      <c r="F220">
        <v>405</v>
      </c>
      <c r="G220" t="s">
        <v>1329</v>
      </c>
    </row>
    <row r="221" spans="1:7" x14ac:dyDescent="0.3">
      <c r="A221" t="s">
        <v>956</v>
      </c>
      <c r="B221" t="s">
        <v>409</v>
      </c>
      <c r="D221" t="s">
        <v>956</v>
      </c>
      <c r="F221">
        <v>406</v>
      </c>
      <c r="G221" t="s">
        <v>1330</v>
      </c>
    </row>
    <row r="222" spans="1:7" x14ac:dyDescent="0.3">
      <c r="A222" t="s">
        <v>957</v>
      </c>
      <c r="B222" t="s">
        <v>410</v>
      </c>
      <c r="C222" t="s">
        <v>411</v>
      </c>
      <c r="D222" t="s">
        <v>957</v>
      </c>
      <c r="F222">
        <v>407</v>
      </c>
      <c r="G222" t="s">
        <v>1331</v>
      </c>
    </row>
    <row r="223" spans="1:7" x14ac:dyDescent="0.3">
      <c r="A223" t="s">
        <v>958</v>
      </c>
      <c r="B223" t="s">
        <v>412</v>
      </c>
      <c r="C223" t="s">
        <v>413</v>
      </c>
      <c r="D223" t="s">
        <v>958</v>
      </c>
      <c r="F223">
        <v>408</v>
      </c>
      <c r="G223" t="s">
        <v>1332</v>
      </c>
    </row>
    <row r="224" spans="1:7" x14ac:dyDescent="0.3">
      <c r="A224" t="s">
        <v>959</v>
      </c>
      <c r="B224" t="s">
        <v>415</v>
      </c>
      <c r="C224" t="s">
        <v>416</v>
      </c>
      <c r="D224" t="s">
        <v>959</v>
      </c>
      <c r="F224">
        <v>409</v>
      </c>
      <c r="G224" t="s">
        <v>1333</v>
      </c>
    </row>
    <row r="225" spans="1:7" x14ac:dyDescent="0.3">
      <c r="A225" t="s">
        <v>960</v>
      </c>
      <c r="B225" t="s">
        <v>417</v>
      </c>
      <c r="C225" t="s">
        <v>418</v>
      </c>
      <c r="D225" t="s">
        <v>960</v>
      </c>
      <c r="F225">
        <v>410</v>
      </c>
      <c r="G225" t="s">
        <v>1334</v>
      </c>
    </row>
    <row r="226" spans="1:7" x14ac:dyDescent="0.3">
      <c r="A226" t="s">
        <v>961</v>
      </c>
      <c r="B226" t="s">
        <v>421</v>
      </c>
      <c r="D226" t="s">
        <v>961</v>
      </c>
      <c r="F226">
        <v>411</v>
      </c>
      <c r="G226" t="s">
        <v>1335</v>
      </c>
    </row>
    <row r="227" spans="1:7" x14ac:dyDescent="0.3">
      <c r="A227" t="s">
        <v>962</v>
      </c>
      <c r="B227" t="s">
        <v>422</v>
      </c>
      <c r="D227" t="s">
        <v>962</v>
      </c>
      <c r="F227">
        <v>412</v>
      </c>
      <c r="G227" t="s">
        <v>1336</v>
      </c>
    </row>
    <row r="228" spans="1:7" x14ac:dyDescent="0.3">
      <c r="A228" t="s">
        <v>963</v>
      </c>
      <c r="B228" t="s">
        <v>423</v>
      </c>
      <c r="D228" t="s">
        <v>963</v>
      </c>
      <c r="F228">
        <v>413</v>
      </c>
      <c r="G228" t="s">
        <v>1337</v>
      </c>
    </row>
    <row r="229" spans="1:7" x14ac:dyDescent="0.3">
      <c r="A229" t="s">
        <v>2075</v>
      </c>
      <c r="B229" t="s">
        <v>2073</v>
      </c>
      <c r="D229" t="s">
        <v>2075</v>
      </c>
      <c r="F229">
        <v>414</v>
      </c>
      <c r="G229" t="s">
        <v>1338</v>
      </c>
    </row>
    <row r="230" spans="1:7" x14ac:dyDescent="0.3">
      <c r="A230" t="s">
        <v>964</v>
      </c>
      <c r="B230" t="s">
        <v>424</v>
      </c>
      <c r="C230" t="s">
        <v>425</v>
      </c>
      <c r="D230" t="s">
        <v>964</v>
      </c>
      <c r="F230">
        <v>415</v>
      </c>
      <c r="G230" t="s">
        <v>1339</v>
      </c>
    </row>
    <row r="231" spans="1:7" x14ac:dyDescent="0.3">
      <c r="A231" t="s">
        <v>965</v>
      </c>
      <c r="B231" t="s">
        <v>427</v>
      </c>
      <c r="C231" t="s">
        <v>427</v>
      </c>
      <c r="D231" t="s">
        <v>965</v>
      </c>
      <c r="F231">
        <v>416</v>
      </c>
      <c r="G231" t="s">
        <v>1340</v>
      </c>
    </row>
    <row r="232" spans="1:7" x14ac:dyDescent="0.3">
      <c r="A232" t="s">
        <v>966</v>
      </c>
      <c r="B232" t="s">
        <v>429</v>
      </c>
      <c r="C232" t="s">
        <v>430</v>
      </c>
      <c r="D232" t="s">
        <v>966</v>
      </c>
      <c r="F232">
        <v>417</v>
      </c>
      <c r="G232" t="s">
        <v>132</v>
      </c>
    </row>
    <row r="233" spans="1:7" x14ac:dyDescent="0.3">
      <c r="A233" t="s">
        <v>967</v>
      </c>
      <c r="B233" t="s">
        <v>432</v>
      </c>
      <c r="C233" t="s">
        <v>432</v>
      </c>
      <c r="D233" t="s">
        <v>967</v>
      </c>
      <c r="F233">
        <v>418</v>
      </c>
      <c r="G233" t="s">
        <v>1341</v>
      </c>
    </row>
    <row r="234" spans="1:7" x14ac:dyDescent="0.3">
      <c r="A234" t="s">
        <v>968</v>
      </c>
      <c r="B234" t="s">
        <v>433</v>
      </c>
      <c r="C234" t="s">
        <v>433</v>
      </c>
      <c r="D234" t="s">
        <v>968</v>
      </c>
      <c r="F234">
        <v>419</v>
      </c>
      <c r="G234" t="s">
        <v>1342</v>
      </c>
    </row>
    <row r="235" spans="1:7" x14ac:dyDescent="0.3">
      <c r="A235" t="s">
        <v>969</v>
      </c>
      <c r="B235" t="s">
        <v>2103</v>
      </c>
      <c r="C235" t="s">
        <v>435</v>
      </c>
      <c r="D235" t="s">
        <v>969</v>
      </c>
      <c r="F235">
        <v>420</v>
      </c>
      <c r="G235" t="s">
        <v>1343</v>
      </c>
    </row>
    <row r="236" spans="1:7" x14ac:dyDescent="0.3">
      <c r="A236" t="s">
        <v>970</v>
      </c>
      <c r="B236" t="s">
        <v>436</v>
      </c>
      <c r="D236" t="s">
        <v>970</v>
      </c>
      <c r="F236">
        <v>421</v>
      </c>
      <c r="G236" t="s">
        <v>1344</v>
      </c>
    </row>
    <row r="237" spans="1:7" x14ac:dyDescent="0.3">
      <c r="A237" t="s">
        <v>971</v>
      </c>
      <c r="B237" t="s">
        <v>437</v>
      </c>
      <c r="C237" t="s">
        <v>437</v>
      </c>
      <c r="D237" t="s">
        <v>971</v>
      </c>
      <c r="F237">
        <v>422</v>
      </c>
      <c r="G237" t="s">
        <v>1345</v>
      </c>
    </row>
    <row r="238" spans="1:7" x14ac:dyDescent="0.3">
      <c r="A238" t="s">
        <v>972</v>
      </c>
      <c r="B238" t="s">
        <v>439</v>
      </c>
      <c r="C238" t="s">
        <v>440</v>
      </c>
      <c r="D238" t="s">
        <v>972</v>
      </c>
      <c r="F238">
        <v>423</v>
      </c>
      <c r="G238" t="s">
        <v>456</v>
      </c>
    </row>
    <row r="239" spans="1:7" x14ac:dyDescent="0.3">
      <c r="A239" t="s">
        <v>973</v>
      </c>
      <c r="B239" t="s">
        <v>449</v>
      </c>
      <c r="C239" t="s">
        <v>450</v>
      </c>
      <c r="D239" t="s">
        <v>973</v>
      </c>
      <c r="F239">
        <v>424</v>
      </c>
      <c r="G239" t="s">
        <v>1346</v>
      </c>
    </row>
    <row r="240" spans="1:7" x14ac:dyDescent="0.3">
      <c r="A240" t="s">
        <v>974</v>
      </c>
      <c r="B240" t="s">
        <v>446</v>
      </c>
      <c r="C240" t="s">
        <v>447</v>
      </c>
      <c r="D240" t="s">
        <v>974</v>
      </c>
      <c r="F240">
        <v>425</v>
      </c>
      <c r="G240" t="s">
        <v>1347</v>
      </c>
    </row>
    <row r="241" spans="1:7" x14ac:dyDescent="0.3">
      <c r="A241" t="s">
        <v>975</v>
      </c>
      <c r="B241" t="s">
        <v>441</v>
      </c>
      <c r="C241" t="s">
        <v>442</v>
      </c>
      <c r="D241" t="s">
        <v>975</v>
      </c>
      <c r="F241">
        <v>426</v>
      </c>
      <c r="G241" t="s">
        <v>406</v>
      </c>
    </row>
    <row r="242" spans="1:7" x14ac:dyDescent="0.3">
      <c r="A242" t="s">
        <v>976</v>
      </c>
      <c r="B242" t="s">
        <v>444</v>
      </c>
      <c r="D242" t="s">
        <v>976</v>
      </c>
      <c r="F242">
        <v>427</v>
      </c>
      <c r="G242" t="s">
        <v>455</v>
      </c>
    </row>
    <row r="243" spans="1:7" x14ac:dyDescent="0.3">
      <c r="A243" t="s">
        <v>977</v>
      </c>
      <c r="B243" t="s">
        <v>452</v>
      </c>
      <c r="C243" t="s">
        <v>452</v>
      </c>
      <c r="D243" t="s">
        <v>977</v>
      </c>
      <c r="F243">
        <v>428</v>
      </c>
      <c r="G243" t="s">
        <v>1348</v>
      </c>
    </row>
    <row r="244" spans="1:7" x14ac:dyDescent="0.3">
      <c r="A244" t="s">
        <v>978</v>
      </c>
      <c r="B244" t="s">
        <v>453</v>
      </c>
      <c r="D244" t="s">
        <v>978</v>
      </c>
      <c r="F244">
        <v>431</v>
      </c>
      <c r="G244" t="s">
        <v>1349</v>
      </c>
    </row>
    <row r="245" spans="1:7" x14ac:dyDescent="0.3">
      <c r="A245" t="s">
        <v>979</v>
      </c>
      <c r="B245" t="s">
        <v>454</v>
      </c>
      <c r="D245" t="s">
        <v>979</v>
      </c>
      <c r="F245">
        <v>432</v>
      </c>
      <c r="G245" t="s">
        <v>1350</v>
      </c>
    </row>
    <row r="246" spans="1:7" x14ac:dyDescent="0.3">
      <c r="A246" t="s">
        <v>980</v>
      </c>
      <c r="B246" t="s">
        <v>456</v>
      </c>
      <c r="D246" t="s">
        <v>980</v>
      </c>
      <c r="F246">
        <v>433</v>
      </c>
      <c r="G246" t="s">
        <v>1351</v>
      </c>
    </row>
    <row r="247" spans="1:7" x14ac:dyDescent="0.3">
      <c r="A247" t="s">
        <v>981</v>
      </c>
      <c r="B247" t="s">
        <v>357</v>
      </c>
      <c r="C247" t="s">
        <v>358</v>
      </c>
      <c r="D247" t="s">
        <v>981</v>
      </c>
      <c r="F247">
        <v>434</v>
      </c>
      <c r="G247" t="s">
        <v>1352</v>
      </c>
    </row>
    <row r="248" spans="1:7" x14ac:dyDescent="0.3">
      <c r="A248" t="s">
        <v>982</v>
      </c>
      <c r="B248" t="s">
        <v>460</v>
      </c>
      <c r="C248" t="s">
        <v>460</v>
      </c>
      <c r="D248" t="s">
        <v>982</v>
      </c>
      <c r="F248">
        <v>435</v>
      </c>
      <c r="G248" t="s">
        <v>467</v>
      </c>
    </row>
    <row r="249" spans="1:7" x14ac:dyDescent="0.3">
      <c r="A249" t="s">
        <v>983</v>
      </c>
      <c r="B249" t="s">
        <v>457</v>
      </c>
      <c r="C249" t="s">
        <v>458</v>
      </c>
      <c r="D249" t="s">
        <v>983</v>
      </c>
      <c r="F249">
        <v>436</v>
      </c>
      <c r="G249" t="s">
        <v>1353</v>
      </c>
    </row>
    <row r="250" spans="1:7" x14ac:dyDescent="0.3">
      <c r="A250" t="s">
        <v>984</v>
      </c>
      <c r="B250" t="s">
        <v>462</v>
      </c>
      <c r="C250" t="s">
        <v>462</v>
      </c>
      <c r="D250" t="s">
        <v>984</v>
      </c>
      <c r="F250">
        <v>437</v>
      </c>
      <c r="G250" t="s">
        <v>1354</v>
      </c>
    </row>
    <row r="251" spans="1:7" x14ac:dyDescent="0.3">
      <c r="A251" t="s">
        <v>985</v>
      </c>
      <c r="B251" t="s">
        <v>464</v>
      </c>
      <c r="D251" t="s">
        <v>985</v>
      </c>
      <c r="F251">
        <v>438</v>
      </c>
      <c r="G251" t="s">
        <v>1355</v>
      </c>
    </row>
    <row r="252" spans="1:7" x14ac:dyDescent="0.3">
      <c r="A252" t="s">
        <v>986</v>
      </c>
      <c r="B252" t="s">
        <v>238</v>
      </c>
      <c r="D252" t="s">
        <v>986</v>
      </c>
      <c r="F252">
        <v>439</v>
      </c>
      <c r="G252" t="s">
        <v>1356</v>
      </c>
    </row>
    <row r="253" spans="1:7" x14ac:dyDescent="0.3">
      <c r="A253" t="s">
        <v>987</v>
      </c>
      <c r="B253" t="s">
        <v>465</v>
      </c>
      <c r="D253" t="s">
        <v>987</v>
      </c>
      <c r="F253">
        <v>440</v>
      </c>
      <c r="G253" t="s">
        <v>1357</v>
      </c>
    </row>
    <row r="254" spans="1:7" x14ac:dyDescent="0.3">
      <c r="A254" t="s">
        <v>988</v>
      </c>
      <c r="B254" t="s">
        <v>466</v>
      </c>
      <c r="D254" t="s">
        <v>988</v>
      </c>
      <c r="F254">
        <v>441</v>
      </c>
      <c r="G254" t="s">
        <v>1358</v>
      </c>
    </row>
    <row r="255" spans="1:7" x14ac:dyDescent="0.3">
      <c r="A255" t="s">
        <v>989</v>
      </c>
      <c r="B255" t="s">
        <v>467</v>
      </c>
      <c r="C255" t="s">
        <v>468</v>
      </c>
      <c r="D255" t="s">
        <v>989</v>
      </c>
      <c r="F255">
        <v>442</v>
      </c>
      <c r="G255" t="s">
        <v>1359</v>
      </c>
    </row>
    <row r="256" spans="1:7" x14ac:dyDescent="0.3">
      <c r="A256" t="s">
        <v>990</v>
      </c>
      <c r="B256" t="s">
        <v>2070</v>
      </c>
      <c r="D256" t="s">
        <v>990</v>
      </c>
      <c r="F256">
        <v>443</v>
      </c>
      <c r="G256" t="s">
        <v>1360</v>
      </c>
    </row>
    <row r="257" spans="1:7" x14ac:dyDescent="0.3">
      <c r="A257" t="s">
        <v>991</v>
      </c>
      <c r="B257" t="s">
        <v>471</v>
      </c>
      <c r="C257" t="s">
        <v>472</v>
      </c>
      <c r="D257" t="s">
        <v>991</v>
      </c>
      <c r="F257">
        <v>444</v>
      </c>
      <c r="G257" t="s">
        <v>1361</v>
      </c>
    </row>
    <row r="258" spans="1:7" x14ac:dyDescent="0.3">
      <c r="A258" t="s">
        <v>992</v>
      </c>
      <c r="B258" t="s">
        <v>474</v>
      </c>
      <c r="D258" t="s">
        <v>992</v>
      </c>
      <c r="F258">
        <v>445</v>
      </c>
      <c r="G258" t="s">
        <v>1362</v>
      </c>
    </row>
    <row r="259" spans="1:7" x14ac:dyDescent="0.3">
      <c r="A259" t="s">
        <v>993</v>
      </c>
      <c r="B259" t="s">
        <v>476</v>
      </c>
      <c r="C259" t="s">
        <v>477</v>
      </c>
      <c r="D259" t="s">
        <v>993</v>
      </c>
      <c r="F259">
        <v>446</v>
      </c>
      <c r="G259" t="s">
        <v>1363</v>
      </c>
    </row>
    <row r="260" spans="1:7" x14ac:dyDescent="0.3">
      <c r="A260" t="s">
        <v>2072</v>
      </c>
      <c r="B260" t="s">
        <v>468</v>
      </c>
      <c r="D260" t="s">
        <v>2072</v>
      </c>
      <c r="F260">
        <v>447</v>
      </c>
      <c r="G260" t="s">
        <v>1364</v>
      </c>
    </row>
    <row r="261" spans="1:7" x14ac:dyDescent="0.3">
      <c r="A261" t="s">
        <v>994</v>
      </c>
      <c r="B261" t="s">
        <v>478</v>
      </c>
      <c r="C261" t="s">
        <v>478</v>
      </c>
      <c r="D261" t="s">
        <v>994</v>
      </c>
      <c r="F261">
        <v>448</v>
      </c>
      <c r="G261" t="s">
        <v>1365</v>
      </c>
    </row>
    <row r="262" spans="1:7" x14ac:dyDescent="0.3">
      <c r="A262" t="s">
        <v>995</v>
      </c>
      <c r="B262" t="s">
        <v>480</v>
      </c>
      <c r="D262" t="s">
        <v>995</v>
      </c>
      <c r="F262">
        <v>449</v>
      </c>
      <c r="G262" t="s">
        <v>1366</v>
      </c>
    </row>
    <row r="263" spans="1:7" x14ac:dyDescent="0.3">
      <c r="A263" t="s">
        <v>996</v>
      </c>
      <c r="B263" t="s">
        <v>481</v>
      </c>
      <c r="D263" t="s">
        <v>996</v>
      </c>
      <c r="F263">
        <v>451</v>
      </c>
      <c r="G263" t="s">
        <v>342</v>
      </c>
    </row>
    <row r="264" spans="1:7" x14ac:dyDescent="0.3">
      <c r="A264" t="s">
        <v>997</v>
      </c>
      <c r="B264" t="s">
        <v>482</v>
      </c>
      <c r="D264" t="s">
        <v>997</v>
      </c>
      <c r="F264">
        <v>452</v>
      </c>
      <c r="G264" t="s">
        <v>711</v>
      </c>
    </row>
    <row r="265" spans="1:7" x14ac:dyDescent="0.3">
      <c r="A265" t="s">
        <v>998</v>
      </c>
      <c r="B265" t="s">
        <v>486</v>
      </c>
      <c r="C265" t="s">
        <v>487</v>
      </c>
      <c r="D265" t="s">
        <v>998</v>
      </c>
      <c r="F265">
        <v>453</v>
      </c>
      <c r="G265" t="s">
        <v>344</v>
      </c>
    </row>
    <row r="266" spans="1:7" x14ac:dyDescent="0.3">
      <c r="A266" t="s">
        <v>999</v>
      </c>
      <c r="B266" t="s">
        <v>483</v>
      </c>
      <c r="C266" t="s">
        <v>484</v>
      </c>
      <c r="D266" t="s">
        <v>999</v>
      </c>
      <c r="F266">
        <v>454</v>
      </c>
      <c r="G266" t="s">
        <v>1367</v>
      </c>
    </row>
    <row r="267" spans="1:7" x14ac:dyDescent="0.3">
      <c r="A267" t="s">
        <v>1000</v>
      </c>
      <c r="B267" t="s">
        <v>491</v>
      </c>
      <c r="C267" t="s">
        <v>492</v>
      </c>
      <c r="D267" t="s">
        <v>1000</v>
      </c>
      <c r="F267">
        <v>455</v>
      </c>
      <c r="G267" t="s">
        <v>1368</v>
      </c>
    </row>
    <row r="268" spans="1:7" x14ac:dyDescent="0.3">
      <c r="A268" t="s">
        <v>1733</v>
      </c>
      <c r="B268" t="s">
        <v>494</v>
      </c>
      <c r="C268" t="s">
        <v>495</v>
      </c>
      <c r="D268" t="s">
        <v>1733</v>
      </c>
      <c r="F268">
        <v>456</v>
      </c>
      <c r="G268" t="s">
        <v>1369</v>
      </c>
    </row>
    <row r="269" spans="1:7" x14ac:dyDescent="0.3">
      <c r="A269" t="s">
        <v>1734</v>
      </c>
      <c r="B269" t="s">
        <v>488</v>
      </c>
      <c r="D269" t="s">
        <v>1734</v>
      </c>
      <c r="F269">
        <v>457</v>
      </c>
      <c r="G269" t="s">
        <v>1370</v>
      </c>
    </row>
    <row r="270" spans="1:7" x14ac:dyDescent="0.3">
      <c r="A270" t="s">
        <v>1735</v>
      </c>
      <c r="B270" t="s">
        <v>489</v>
      </c>
      <c r="D270" t="s">
        <v>1735</v>
      </c>
      <c r="F270">
        <v>458</v>
      </c>
      <c r="G270" t="s">
        <v>347</v>
      </c>
    </row>
    <row r="271" spans="1:7" x14ac:dyDescent="0.3">
      <c r="A271" t="s">
        <v>1736</v>
      </c>
      <c r="B271" t="s">
        <v>497</v>
      </c>
      <c r="C271" t="s">
        <v>497</v>
      </c>
      <c r="D271" t="s">
        <v>1736</v>
      </c>
      <c r="F271">
        <v>460</v>
      </c>
      <c r="G271" t="s">
        <v>348</v>
      </c>
    </row>
    <row r="272" spans="1:7" x14ac:dyDescent="0.3">
      <c r="A272" t="s">
        <v>1737</v>
      </c>
      <c r="B272" t="s">
        <v>500</v>
      </c>
      <c r="C272" t="s">
        <v>501</v>
      </c>
      <c r="D272" t="s">
        <v>1737</v>
      </c>
      <c r="F272">
        <v>471</v>
      </c>
      <c r="G272" t="s">
        <v>1371</v>
      </c>
    </row>
    <row r="273" spans="1:7" x14ac:dyDescent="0.3">
      <c r="A273" t="s">
        <v>1738</v>
      </c>
      <c r="B273" t="s">
        <v>502</v>
      </c>
      <c r="C273" t="s">
        <v>503</v>
      </c>
      <c r="D273" t="s">
        <v>1738</v>
      </c>
      <c r="F273">
        <v>472</v>
      </c>
      <c r="G273" t="s">
        <v>510</v>
      </c>
    </row>
    <row r="274" spans="1:7" x14ac:dyDescent="0.3">
      <c r="A274" t="s">
        <v>1739</v>
      </c>
      <c r="B274" t="s">
        <v>504</v>
      </c>
      <c r="C274" t="s">
        <v>477</v>
      </c>
      <c r="D274" t="s">
        <v>1739</v>
      </c>
      <c r="F274">
        <v>473</v>
      </c>
      <c r="G274" t="s">
        <v>511</v>
      </c>
    </row>
    <row r="275" spans="1:7" x14ac:dyDescent="0.3">
      <c r="A275" t="s">
        <v>1740</v>
      </c>
      <c r="B275" t="s">
        <v>505</v>
      </c>
      <c r="C275" t="s">
        <v>505</v>
      </c>
      <c r="D275" t="s">
        <v>1740</v>
      </c>
      <c r="F275">
        <v>474</v>
      </c>
      <c r="G275" t="s">
        <v>1372</v>
      </c>
    </row>
    <row r="276" spans="1:7" x14ac:dyDescent="0.3">
      <c r="A276" t="s">
        <v>1741</v>
      </c>
      <c r="B276" t="s">
        <v>506</v>
      </c>
      <c r="D276" t="s">
        <v>1741</v>
      </c>
      <c r="F276">
        <v>475</v>
      </c>
      <c r="G276" t="s">
        <v>1373</v>
      </c>
    </row>
    <row r="277" spans="1:7" x14ac:dyDescent="0.3">
      <c r="A277" t="s">
        <v>1742</v>
      </c>
      <c r="B277" t="s">
        <v>58</v>
      </c>
      <c r="D277" t="s">
        <v>1742</v>
      </c>
      <c r="F277">
        <v>476</v>
      </c>
      <c r="G277" t="s">
        <v>1374</v>
      </c>
    </row>
    <row r="278" spans="1:7" x14ac:dyDescent="0.3">
      <c r="A278" t="s">
        <v>1743</v>
      </c>
      <c r="B278" t="s">
        <v>507</v>
      </c>
      <c r="C278" t="s">
        <v>507</v>
      </c>
      <c r="D278" t="s">
        <v>1743</v>
      </c>
      <c r="F278">
        <v>480</v>
      </c>
      <c r="G278" t="s">
        <v>1375</v>
      </c>
    </row>
    <row r="279" spans="1:7" x14ac:dyDescent="0.3">
      <c r="A279" t="s">
        <v>1744</v>
      </c>
      <c r="B279" t="s">
        <v>508</v>
      </c>
      <c r="D279" t="s">
        <v>1744</v>
      </c>
      <c r="F279">
        <v>481</v>
      </c>
      <c r="G279" t="s">
        <v>476</v>
      </c>
    </row>
    <row r="280" spans="1:7" x14ac:dyDescent="0.3">
      <c r="A280" t="s">
        <v>1745</v>
      </c>
      <c r="B280" t="s">
        <v>509</v>
      </c>
      <c r="D280" t="s">
        <v>1745</v>
      </c>
      <c r="F280">
        <v>482</v>
      </c>
      <c r="G280" t="s">
        <v>1376</v>
      </c>
    </row>
    <row r="281" spans="1:7" x14ac:dyDescent="0.3">
      <c r="A281" t="s">
        <v>1746</v>
      </c>
      <c r="B281" t="s">
        <v>510</v>
      </c>
      <c r="D281" t="s">
        <v>1746</v>
      </c>
      <c r="F281">
        <v>483</v>
      </c>
      <c r="G281" t="s">
        <v>1377</v>
      </c>
    </row>
    <row r="282" spans="1:7" x14ac:dyDescent="0.3">
      <c r="A282" t="s">
        <v>1747</v>
      </c>
      <c r="B282" t="s">
        <v>511</v>
      </c>
      <c r="D282" t="s">
        <v>1747</v>
      </c>
      <c r="F282">
        <v>484</v>
      </c>
      <c r="G282" t="s">
        <v>1378</v>
      </c>
    </row>
    <row r="283" spans="1:7" x14ac:dyDescent="0.3">
      <c r="A283" t="s">
        <v>1748</v>
      </c>
      <c r="B283" t="s">
        <v>512</v>
      </c>
      <c r="D283" t="s">
        <v>1748</v>
      </c>
      <c r="F283">
        <v>485</v>
      </c>
      <c r="G283" t="s">
        <v>408</v>
      </c>
    </row>
    <row r="284" spans="1:7" x14ac:dyDescent="0.3">
      <c r="A284" t="s">
        <v>1749</v>
      </c>
      <c r="B284" t="s">
        <v>513</v>
      </c>
      <c r="C284" t="s">
        <v>514</v>
      </c>
      <c r="D284" t="s">
        <v>1749</v>
      </c>
      <c r="F284">
        <v>501</v>
      </c>
      <c r="G284" t="s">
        <v>1379</v>
      </c>
    </row>
    <row r="285" spans="1:7" x14ac:dyDescent="0.3">
      <c r="A285" t="s">
        <v>1750</v>
      </c>
      <c r="B285" t="s">
        <v>517</v>
      </c>
      <c r="C285" t="s">
        <v>518</v>
      </c>
      <c r="D285" t="s">
        <v>1750</v>
      </c>
      <c r="F285">
        <v>502</v>
      </c>
      <c r="G285" t="s">
        <v>1380</v>
      </c>
    </row>
    <row r="286" spans="1:7" x14ac:dyDescent="0.3">
      <c r="A286" t="s">
        <v>1907</v>
      </c>
      <c r="B286" t="s">
        <v>1906</v>
      </c>
      <c r="C286" t="s">
        <v>1905</v>
      </c>
      <c r="D286" t="s">
        <v>1907</v>
      </c>
      <c r="F286">
        <v>503</v>
      </c>
      <c r="G286" t="s">
        <v>1381</v>
      </c>
    </row>
    <row r="287" spans="1:7" x14ac:dyDescent="0.3">
      <c r="A287" t="s">
        <v>1001</v>
      </c>
      <c r="B287" t="s">
        <v>519</v>
      </c>
      <c r="C287" t="s">
        <v>520</v>
      </c>
      <c r="D287" t="s">
        <v>1001</v>
      </c>
      <c r="F287">
        <v>504</v>
      </c>
      <c r="G287" t="s">
        <v>1382</v>
      </c>
    </row>
    <row r="288" spans="1:7" x14ac:dyDescent="0.3">
      <c r="A288" t="s">
        <v>1002</v>
      </c>
      <c r="B288" t="s">
        <v>527</v>
      </c>
      <c r="C288" t="s">
        <v>527</v>
      </c>
      <c r="D288" t="s">
        <v>1002</v>
      </c>
      <c r="F288">
        <v>505</v>
      </c>
      <c r="G288" t="s">
        <v>1383</v>
      </c>
    </row>
    <row r="289" spans="1:7" x14ac:dyDescent="0.3">
      <c r="A289" t="s">
        <v>1003</v>
      </c>
      <c r="B289" t="s">
        <v>530</v>
      </c>
      <c r="C289" t="s">
        <v>531</v>
      </c>
      <c r="D289" t="s">
        <v>1003</v>
      </c>
      <c r="F289">
        <v>506</v>
      </c>
      <c r="G289" t="s">
        <v>1384</v>
      </c>
    </row>
    <row r="290" spans="1:7" x14ac:dyDescent="0.3">
      <c r="A290" t="s">
        <v>1004</v>
      </c>
      <c r="B290" t="s">
        <v>546</v>
      </c>
      <c r="C290" t="s">
        <v>547</v>
      </c>
      <c r="D290" t="s">
        <v>1004</v>
      </c>
      <c r="F290">
        <v>507</v>
      </c>
      <c r="G290" t="s">
        <v>1385</v>
      </c>
    </row>
    <row r="291" spans="1:7" x14ac:dyDescent="0.3">
      <c r="A291" t="s">
        <v>1005</v>
      </c>
      <c r="B291" t="s">
        <v>535</v>
      </c>
      <c r="C291" t="s">
        <v>536</v>
      </c>
      <c r="D291" t="s">
        <v>1005</v>
      </c>
      <c r="F291">
        <v>508</v>
      </c>
      <c r="G291" t="s">
        <v>304</v>
      </c>
    </row>
    <row r="292" spans="1:7" x14ac:dyDescent="0.3">
      <c r="A292" t="s">
        <v>1006</v>
      </c>
      <c r="B292" t="s">
        <v>528</v>
      </c>
      <c r="C292" t="s">
        <v>529</v>
      </c>
      <c r="D292" t="s">
        <v>1006</v>
      </c>
      <c r="F292">
        <v>509</v>
      </c>
      <c r="G292" t="s">
        <v>1386</v>
      </c>
    </row>
    <row r="293" spans="1:7" x14ac:dyDescent="0.3">
      <c r="A293" t="s">
        <v>1007</v>
      </c>
      <c r="B293" t="s">
        <v>791</v>
      </c>
      <c r="C293" t="s">
        <v>791</v>
      </c>
      <c r="D293" t="s">
        <v>1007</v>
      </c>
      <c r="F293">
        <v>510</v>
      </c>
      <c r="G293" t="s">
        <v>1387</v>
      </c>
    </row>
    <row r="294" spans="1:7" x14ac:dyDescent="0.3">
      <c r="A294" t="s">
        <v>1008</v>
      </c>
      <c r="B294" t="s">
        <v>792</v>
      </c>
      <c r="C294" t="s">
        <v>792</v>
      </c>
      <c r="D294" t="s">
        <v>1008</v>
      </c>
      <c r="F294">
        <v>520</v>
      </c>
      <c r="G294" t="s">
        <v>1388</v>
      </c>
    </row>
    <row r="295" spans="1:7" x14ac:dyDescent="0.3">
      <c r="A295" t="s">
        <v>1009</v>
      </c>
      <c r="B295" t="s">
        <v>1975</v>
      </c>
      <c r="D295" t="s">
        <v>1009</v>
      </c>
      <c r="F295">
        <v>521</v>
      </c>
      <c r="G295" t="s">
        <v>1389</v>
      </c>
    </row>
    <row r="296" spans="1:7" x14ac:dyDescent="0.3">
      <c r="A296" t="s">
        <v>1976</v>
      </c>
      <c r="B296" t="s">
        <v>523</v>
      </c>
      <c r="C296" t="s">
        <v>523</v>
      </c>
      <c r="D296" t="s">
        <v>1976</v>
      </c>
      <c r="F296">
        <v>522</v>
      </c>
      <c r="G296" t="s">
        <v>237</v>
      </c>
    </row>
    <row r="297" spans="1:7" x14ac:dyDescent="0.3">
      <c r="A297" t="s">
        <v>1977</v>
      </c>
      <c r="B297" t="s">
        <v>524</v>
      </c>
      <c r="C297" t="s">
        <v>524</v>
      </c>
      <c r="D297" t="s">
        <v>1977</v>
      </c>
      <c r="F297">
        <v>530</v>
      </c>
      <c r="G297" t="s">
        <v>226</v>
      </c>
    </row>
    <row r="298" spans="1:7" x14ac:dyDescent="0.3">
      <c r="A298" t="s">
        <v>1010</v>
      </c>
      <c r="B298" t="s">
        <v>532</v>
      </c>
      <c r="C298" t="s">
        <v>532</v>
      </c>
      <c r="D298" t="s">
        <v>1010</v>
      </c>
      <c r="F298">
        <v>541</v>
      </c>
      <c r="G298" t="s">
        <v>1390</v>
      </c>
    </row>
    <row r="299" spans="1:7" x14ac:dyDescent="0.3">
      <c r="A299" t="s">
        <v>1978</v>
      </c>
      <c r="B299" t="s">
        <v>533</v>
      </c>
      <c r="C299" t="s">
        <v>534</v>
      </c>
      <c r="D299" t="s">
        <v>1978</v>
      </c>
      <c r="F299">
        <v>542</v>
      </c>
      <c r="G299" t="s">
        <v>1391</v>
      </c>
    </row>
    <row r="300" spans="1:7" x14ac:dyDescent="0.3">
      <c r="A300" t="s">
        <v>1011</v>
      </c>
      <c r="B300" t="s">
        <v>525</v>
      </c>
      <c r="D300" t="s">
        <v>1011</v>
      </c>
      <c r="F300">
        <v>581</v>
      </c>
      <c r="G300" t="s">
        <v>1392</v>
      </c>
    </row>
    <row r="301" spans="1:7" x14ac:dyDescent="0.3">
      <c r="A301" t="s">
        <v>1012</v>
      </c>
      <c r="B301" t="s">
        <v>526</v>
      </c>
      <c r="C301" t="s">
        <v>526</v>
      </c>
      <c r="D301" t="s">
        <v>1012</v>
      </c>
      <c r="F301">
        <v>582</v>
      </c>
      <c r="G301" t="s">
        <v>1393</v>
      </c>
    </row>
    <row r="302" spans="1:7" x14ac:dyDescent="0.3">
      <c r="A302" t="s">
        <v>1013</v>
      </c>
      <c r="B302" t="s">
        <v>537</v>
      </c>
      <c r="C302" t="s">
        <v>538</v>
      </c>
      <c r="D302" t="s">
        <v>1013</v>
      </c>
      <c r="F302">
        <v>583</v>
      </c>
      <c r="G302" t="s">
        <v>1394</v>
      </c>
    </row>
    <row r="303" spans="1:7" x14ac:dyDescent="0.3">
      <c r="A303" t="s">
        <v>1014</v>
      </c>
      <c r="B303" t="s">
        <v>540</v>
      </c>
      <c r="C303" t="s">
        <v>541</v>
      </c>
      <c r="D303" t="s">
        <v>1014</v>
      </c>
      <c r="F303">
        <v>584</v>
      </c>
      <c r="G303" t="s">
        <v>1395</v>
      </c>
    </row>
    <row r="304" spans="1:7" x14ac:dyDescent="0.3">
      <c r="A304" t="s">
        <v>1015</v>
      </c>
      <c r="B304" t="s">
        <v>543</v>
      </c>
      <c r="C304" t="s">
        <v>544</v>
      </c>
      <c r="D304" t="s">
        <v>1015</v>
      </c>
      <c r="F304">
        <v>585</v>
      </c>
      <c r="G304" t="s">
        <v>1396</v>
      </c>
    </row>
    <row r="305" spans="1:7" x14ac:dyDescent="0.3">
      <c r="A305" t="s">
        <v>1016</v>
      </c>
      <c r="B305" t="s">
        <v>552</v>
      </c>
      <c r="C305" t="s">
        <v>552</v>
      </c>
      <c r="D305" t="s">
        <v>1016</v>
      </c>
      <c r="F305">
        <v>601</v>
      </c>
      <c r="G305" t="s">
        <v>1397</v>
      </c>
    </row>
    <row r="306" spans="1:7" x14ac:dyDescent="0.3">
      <c r="A306" t="s">
        <v>1017</v>
      </c>
      <c r="B306" t="s">
        <v>553</v>
      </c>
      <c r="D306" t="s">
        <v>1017</v>
      </c>
      <c r="F306">
        <v>602</v>
      </c>
      <c r="G306" t="s">
        <v>1398</v>
      </c>
    </row>
    <row r="307" spans="1:7" x14ac:dyDescent="0.3">
      <c r="A307" t="s">
        <v>1018</v>
      </c>
      <c r="B307" t="s">
        <v>1821</v>
      </c>
      <c r="C307" t="s">
        <v>555</v>
      </c>
      <c r="D307" t="s">
        <v>1018</v>
      </c>
      <c r="F307">
        <v>603</v>
      </c>
      <c r="G307" t="s">
        <v>1399</v>
      </c>
    </row>
    <row r="308" spans="1:7" x14ac:dyDescent="0.3">
      <c r="A308" t="s">
        <v>1019</v>
      </c>
      <c r="B308" t="s">
        <v>628</v>
      </c>
      <c r="C308" t="s">
        <v>629</v>
      </c>
      <c r="D308" t="s">
        <v>1019</v>
      </c>
      <c r="F308">
        <v>604</v>
      </c>
      <c r="G308" t="s">
        <v>1400</v>
      </c>
    </row>
    <row r="309" spans="1:7" x14ac:dyDescent="0.3">
      <c r="A309" t="s">
        <v>1020</v>
      </c>
      <c r="B309" t="s">
        <v>559</v>
      </c>
      <c r="C309" t="s">
        <v>560</v>
      </c>
      <c r="D309" t="s">
        <v>1020</v>
      </c>
      <c r="F309">
        <v>605</v>
      </c>
      <c r="G309" t="s">
        <v>1401</v>
      </c>
    </row>
    <row r="310" spans="1:7" x14ac:dyDescent="0.3">
      <c r="A310" t="s">
        <v>1021</v>
      </c>
      <c r="B310" t="s">
        <v>557</v>
      </c>
      <c r="C310" t="s">
        <v>12</v>
      </c>
      <c r="D310" t="s">
        <v>1021</v>
      </c>
      <c r="F310">
        <v>606</v>
      </c>
      <c r="G310" t="s">
        <v>1402</v>
      </c>
    </row>
    <row r="311" spans="1:7" x14ac:dyDescent="0.3">
      <c r="A311" t="s">
        <v>1751</v>
      </c>
      <c r="B311" t="s">
        <v>558</v>
      </c>
      <c r="C311" t="s">
        <v>558</v>
      </c>
      <c r="D311" t="s">
        <v>1751</v>
      </c>
      <c r="F311">
        <v>607</v>
      </c>
      <c r="G311" t="s">
        <v>1403</v>
      </c>
    </row>
    <row r="312" spans="1:7" x14ac:dyDescent="0.3">
      <c r="A312" t="s">
        <v>1022</v>
      </c>
      <c r="B312" t="s">
        <v>561</v>
      </c>
      <c r="C312" t="s">
        <v>562</v>
      </c>
      <c r="D312" t="s">
        <v>1022</v>
      </c>
      <c r="F312">
        <v>608</v>
      </c>
      <c r="G312" t="s">
        <v>1404</v>
      </c>
    </row>
    <row r="313" spans="1:7" x14ac:dyDescent="0.3">
      <c r="A313" t="s">
        <v>1023</v>
      </c>
      <c r="B313" t="s">
        <v>564</v>
      </c>
      <c r="C313" t="s">
        <v>564</v>
      </c>
      <c r="D313" t="s">
        <v>1023</v>
      </c>
      <c r="F313">
        <v>609</v>
      </c>
      <c r="G313" t="s">
        <v>216</v>
      </c>
    </row>
    <row r="314" spans="1:7" x14ac:dyDescent="0.3">
      <c r="A314" t="s">
        <v>1024</v>
      </c>
      <c r="B314" t="s">
        <v>566</v>
      </c>
      <c r="C314" t="s">
        <v>566</v>
      </c>
      <c r="D314" t="s">
        <v>1024</v>
      </c>
      <c r="F314">
        <v>611</v>
      </c>
      <c r="G314" t="s">
        <v>1405</v>
      </c>
    </row>
    <row r="315" spans="1:7" x14ac:dyDescent="0.3">
      <c r="A315" t="s">
        <v>1025</v>
      </c>
      <c r="B315" t="s">
        <v>568</v>
      </c>
      <c r="C315" t="s">
        <v>569</v>
      </c>
      <c r="D315" t="s">
        <v>1025</v>
      </c>
      <c r="F315">
        <v>612</v>
      </c>
      <c r="G315" t="s">
        <v>1406</v>
      </c>
    </row>
    <row r="316" spans="1:7" x14ac:dyDescent="0.3">
      <c r="A316" t="s">
        <v>1026</v>
      </c>
      <c r="B316" t="s">
        <v>571</v>
      </c>
      <c r="C316" t="s">
        <v>571</v>
      </c>
      <c r="D316" t="s">
        <v>1026</v>
      </c>
      <c r="F316">
        <v>613</v>
      </c>
      <c r="G316" t="s">
        <v>1407</v>
      </c>
    </row>
    <row r="317" spans="1:7" x14ac:dyDescent="0.3">
      <c r="A317" t="s">
        <v>1027</v>
      </c>
      <c r="B317" t="s">
        <v>573</v>
      </c>
      <c r="C317" t="s">
        <v>573</v>
      </c>
      <c r="D317" t="s">
        <v>1027</v>
      </c>
      <c r="F317">
        <v>614</v>
      </c>
      <c r="G317" t="s">
        <v>1408</v>
      </c>
    </row>
    <row r="318" spans="1:7" x14ac:dyDescent="0.3">
      <c r="A318" t="s">
        <v>1028</v>
      </c>
      <c r="B318" t="s">
        <v>575</v>
      </c>
      <c r="D318" t="s">
        <v>1028</v>
      </c>
      <c r="F318">
        <v>615</v>
      </c>
      <c r="G318" t="s">
        <v>1409</v>
      </c>
    </row>
    <row r="319" spans="1:7" x14ac:dyDescent="0.3">
      <c r="A319" t="s">
        <v>1029</v>
      </c>
      <c r="B319" t="s">
        <v>464</v>
      </c>
      <c r="D319" t="s">
        <v>1029</v>
      </c>
      <c r="F319">
        <v>616</v>
      </c>
      <c r="G319" t="s">
        <v>1410</v>
      </c>
    </row>
    <row r="320" spans="1:7" x14ac:dyDescent="0.3">
      <c r="A320" t="s">
        <v>1030</v>
      </c>
      <c r="B320" t="s">
        <v>576</v>
      </c>
      <c r="C320" t="s">
        <v>577</v>
      </c>
      <c r="D320" t="s">
        <v>1030</v>
      </c>
      <c r="F320">
        <v>617</v>
      </c>
      <c r="G320" t="s">
        <v>1411</v>
      </c>
    </row>
    <row r="321" spans="1:7" x14ac:dyDescent="0.3">
      <c r="A321" t="s">
        <v>1031</v>
      </c>
      <c r="B321" t="s">
        <v>578</v>
      </c>
      <c r="C321" t="s">
        <v>579</v>
      </c>
      <c r="D321" t="s">
        <v>1031</v>
      </c>
      <c r="F321">
        <v>618</v>
      </c>
      <c r="G321" t="s">
        <v>1412</v>
      </c>
    </row>
    <row r="322" spans="1:7" x14ac:dyDescent="0.3">
      <c r="A322" t="s">
        <v>1032</v>
      </c>
      <c r="B322" t="s">
        <v>580</v>
      </c>
      <c r="C322" t="s">
        <v>581</v>
      </c>
      <c r="D322" t="s">
        <v>1032</v>
      </c>
      <c r="F322">
        <v>619</v>
      </c>
      <c r="G322" t="s">
        <v>1413</v>
      </c>
    </row>
    <row r="323" spans="1:7" x14ac:dyDescent="0.3">
      <c r="A323" t="s">
        <v>1033</v>
      </c>
      <c r="B323" t="s">
        <v>582</v>
      </c>
      <c r="C323" t="s">
        <v>583</v>
      </c>
      <c r="D323" t="s">
        <v>1033</v>
      </c>
      <c r="F323">
        <v>621</v>
      </c>
      <c r="G323" t="s">
        <v>1414</v>
      </c>
    </row>
    <row r="324" spans="1:7" x14ac:dyDescent="0.3">
      <c r="A324" t="s">
        <v>1034</v>
      </c>
      <c r="B324" t="s">
        <v>584</v>
      </c>
      <c r="C324" t="s">
        <v>585</v>
      </c>
      <c r="D324" t="s">
        <v>1034</v>
      </c>
      <c r="F324">
        <v>622</v>
      </c>
      <c r="G324" t="s">
        <v>1415</v>
      </c>
    </row>
    <row r="325" spans="1:7" x14ac:dyDescent="0.3">
      <c r="A325" t="s">
        <v>1035</v>
      </c>
      <c r="B325" t="s">
        <v>2094</v>
      </c>
      <c r="C325" t="s">
        <v>586</v>
      </c>
      <c r="D325" t="s">
        <v>1035</v>
      </c>
      <c r="F325">
        <v>623</v>
      </c>
      <c r="G325" t="s">
        <v>1416</v>
      </c>
    </row>
    <row r="326" spans="1:7" x14ac:dyDescent="0.3">
      <c r="A326" t="s">
        <v>1036</v>
      </c>
      <c r="B326" t="s">
        <v>625</v>
      </c>
      <c r="C326" t="s">
        <v>626</v>
      </c>
      <c r="D326" t="s">
        <v>1036</v>
      </c>
      <c r="F326">
        <v>624</v>
      </c>
      <c r="G326" t="s">
        <v>1417</v>
      </c>
    </row>
    <row r="327" spans="1:7" x14ac:dyDescent="0.3">
      <c r="A327" t="s">
        <v>1037</v>
      </c>
      <c r="B327" t="s">
        <v>589</v>
      </c>
      <c r="C327" t="s">
        <v>589</v>
      </c>
      <c r="D327" t="s">
        <v>1037</v>
      </c>
      <c r="F327">
        <v>625</v>
      </c>
      <c r="G327" t="s">
        <v>218</v>
      </c>
    </row>
    <row r="328" spans="1:7" x14ac:dyDescent="0.3">
      <c r="A328" t="s">
        <v>1752</v>
      </c>
      <c r="B328" t="s">
        <v>593</v>
      </c>
      <c r="D328" t="s">
        <v>1752</v>
      </c>
      <c r="F328">
        <v>626</v>
      </c>
      <c r="G328" t="s">
        <v>1418</v>
      </c>
    </row>
    <row r="329" spans="1:7" x14ac:dyDescent="0.3">
      <c r="A329" t="s">
        <v>1753</v>
      </c>
      <c r="B329" t="s">
        <v>591</v>
      </c>
      <c r="C329" t="s">
        <v>591</v>
      </c>
      <c r="D329" t="s">
        <v>1753</v>
      </c>
      <c r="F329">
        <v>627</v>
      </c>
      <c r="G329" t="s">
        <v>1419</v>
      </c>
    </row>
    <row r="330" spans="1:7" x14ac:dyDescent="0.3">
      <c r="A330" t="s">
        <v>1754</v>
      </c>
      <c r="B330" t="s">
        <v>592</v>
      </c>
      <c r="C330" t="s">
        <v>592</v>
      </c>
      <c r="D330" t="s">
        <v>1754</v>
      </c>
      <c r="F330">
        <v>628</v>
      </c>
      <c r="G330" t="s">
        <v>1420</v>
      </c>
    </row>
    <row r="331" spans="1:7" x14ac:dyDescent="0.3">
      <c r="A331" t="s">
        <v>1755</v>
      </c>
      <c r="B331" t="s">
        <v>595</v>
      </c>
      <c r="C331" t="s">
        <v>596</v>
      </c>
      <c r="D331" t="s">
        <v>1755</v>
      </c>
      <c r="F331">
        <v>629</v>
      </c>
      <c r="G331" t="s">
        <v>1421</v>
      </c>
    </row>
    <row r="332" spans="1:7" x14ac:dyDescent="0.3">
      <c r="A332" t="s">
        <v>1756</v>
      </c>
      <c r="B332" t="s">
        <v>597</v>
      </c>
      <c r="C332" t="s">
        <v>598</v>
      </c>
      <c r="D332" t="s">
        <v>1756</v>
      </c>
      <c r="F332">
        <v>631</v>
      </c>
      <c r="G332" t="s">
        <v>1422</v>
      </c>
    </row>
    <row r="333" spans="1:7" x14ac:dyDescent="0.3">
      <c r="A333" t="s">
        <v>1757</v>
      </c>
      <c r="B333" t="s">
        <v>599</v>
      </c>
      <c r="C333" t="s">
        <v>600</v>
      </c>
      <c r="D333" t="s">
        <v>1757</v>
      </c>
      <c r="F333">
        <v>632</v>
      </c>
      <c r="G333" t="s">
        <v>1423</v>
      </c>
    </row>
    <row r="334" spans="1:7" x14ac:dyDescent="0.3">
      <c r="A334" t="s">
        <v>1038</v>
      </c>
      <c r="B334" t="s">
        <v>616</v>
      </c>
      <c r="C334" t="s">
        <v>617</v>
      </c>
      <c r="D334" t="s">
        <v>1038</v>
      </c>
      <c r="F334">
        <v>633</v>
      </c>
      <c r="G334" t="s">
        <v>1424</v>
      </c>
    </row>
    <row r="335" spans="1:7" x14ac:dyDescent="0.3">
      <c r="A335" t="s">
        <v>1758</v>
      </c>
      <c r="B335" t="s">
        <v>614</v>
      </c>
      <c r="C335" t="s">
        <v>614</v>
      </c>
      <c r="D335" t="s">
        <v>1758</v>
      </c>
      <c r="F335">
        <v>634</v>
      </c>
      <c r="G335" t="s">
        <v>217</v>
      </c>
    </row>
    <row r="336" spans="1:7" x14ac:dyDescent="0.3">
      <c r="A336" t="s">
        <v>1039</v>
      </c>
      <c r="B336" t="s">
        <v>1940</v>
      </c>
      <c r="D336" t="s">
        <v>1039</v>
      </c>
      <c r="F336">
        <v>635</v>
      </c>
      <c r="G336" t="s">
        <v>219</v>
      </c>
    </row>
    <row r="337" spans="1:7" x14ac:dyDescent="0.3">
      <c r="A337" t="s">
        <v>1759</v>
      </c>
      <c r="B337" t="s">
        <v>602</v>
      </c>
      <c r="D337" t="s">
        <v>1759</v>
      </c>
      <c r="F337">
        <v>636</v>
      </c>
      <c r="G337" t="s">
        <v>1425</v>
      </c>
    </row>
    <row r="338" spans="1:7" x14ac:dyDescent="0.3">
      <c r="A338" t="s">
        <v>1760</v>
      </c>
      <c r="B338" t="s">
        <v>604</v>
      </c>
      <c r="D338" t="s">
        <v>1760</v>
      </c>
      <c r="F338">
        <v>637</v>
      </c>
      <c r="G338" t="s">
        <v>220</v>
      </c>
    </row>
    <row r="339" spans="1:7" x14ac:dyDescent="0.3">
      <c r="A339" t="s">
        <v>1761</v>
      </c>
      <c r="B339" t="s">
        <v>606</v>
      </c>
      <c r="D339" t="s">
        <v>1761</v>
      </c>
      <c r="F339">
        <v>638</v>
      </c>
      <c r="G339" t="s">
        <v>1426</v>
      </c>
    </row>
    <row r="340" spans="1:7" x14ac:dyDescent="0.3">
      <c r="A340" t="s">
        <v>1762</v>
      </c>
      <c r="B340" t="s">
        <v>608</v>
      </c>
      <c r="D340" t="s">
        <v>1762</v>
      </c>
      <c r="F340">
        <v>639</v>
      </c>
      <c r="G340" t="s">
        <v>1427</v>
      </c>
    </row>
    <row r="341" spans="1:7" x14ac:dyDescent="0.3">
      <c r="A341" t="s">
        <v>1763</v>
      </c>
      <c r="B341" t="s">
        <v>610</v>
      </c>
      <c r="D341" t="s">
        <v>1763</v>
      </c>
      <c r="F341">
        <v>640</v>
      </c>
      <c r="G341" t="s">
        <v>1428</v>
      </c>
    </row>
    <row r="342" spans="1:7" x14ac:dyDescent="0.3">
      <c r="A342" t="s">
        <v>1764</v>
      </c>
      <c r="B342" t="s">
        <v>612</v>
      </c>
      <c r="D342" t="s">
        <v>1764</v>
      </c>
      <c r="F342">
        <v>651</v>
      </c>
      <c r="G342" t="s">
        <v>1429</v>
      </c>
    </row>
    <row r="343" spans="1:7" x14ac:dyDescent="0.3">
      <c r="A343" t="s">
        <v>1040</v>
      </c>
      <c r="B343" t="s">
        <v>619</v>
      </c>
      <c r="D343" t="s">
        <v>1040</v>
      </c>
      <c r="F343">
        <v>661</v>
      </c>
      <c r="G343" t="s">
        <v>1430</v>
      </c>
    </row>
    <row r="344" spans="1:7" x14ac:dyDescent="0.3">
      <c r="A344" t="s">
        <v>1765</v>
      </c>
      <c r="B344" t="s">
        <v>621</v>
      </c>
      <c r="D344" t="s">
        <v>1765</v>
      </c>
      <c r="F344">
        <v>671</v>
      </c>
      <c r="G344" t="s">
        <v>1431</v>
      </c>
    </row>
    <row r="345" spans="1:7" x14ac:dyDescent="0.3">
      <c r="A345" t="s">
        <v>1766</v>
      </c>
      <c r="B345" t="s">
        <v>623</v>
      </c>
      <c r="D345" t="s">
        <v>1766</v>
      </c>
      <c r="F345">
        <v>800</v>
      </c>
      <c r="G345" t="s">
        <v>1432</v>
      </c>
    </row>
    <row r="346" spans="1:7" x14ac:dyDescent="0.3">
      <c r="A346" t="s">
        <v>1041</v>
      </c>
      <c r="B346" t="s">
        <v>635</v>
      </c>
      <c r="C346" t="s">
        <v>636</v>
      </c>
      <c r="D346" t="s">
        <v>1041</v>
      </c>
      <c r="F346">
        <v>801</v>
      </c>
      <c r="G346" t="s">
        <v>1433</v>
      </c>
    </row>
    <row r="347" spans="1:7" x14ac:dyDescent="0.3">
      <c r="A347" t="s">
        <v>1042</v>
      </c>
      <c r="B347" t="s">
        <v>631</v>
      </c>
      <c r="C347" t="s">
        <v>632</v>
      </c>
      <c r="D347" t="s">
        <v>1042</v>
      </c>
      <c r="F347">
        <v>850</v>
      </c>
      <c r="G347" t="s">
        <v>1434</v>
      </c>
    </row>
    <row r="348" spans="1:7" x14ac:dyDescent="0.3">
      <c r="A348" t="s">
        <v>1767</v>
      </c>
      <c r="B348" t="s">
        <v>641</v>
      </c>
      <c r="C348" t="s">
        <v>642</v>
      </c>
      <c r="D348" t="s">
        <v>1767</v>
      </c>
      <c r="F348">
        <v>1001</v>
      </c>
      <c r="G348" t="s">
        <v>1435</v>
      </c>
    </row>
    <row r="349" spans="1:7" x14ac:dyDescent="0.3">
      <c r="A349" t="s">
        <v>1768</v>
      </c>
      <c r="B349" t="s">
        <v>646</v>
      </c>
      <c r="C349" t="s">
        <v>647</v>
      </c>
      <c r="D349" t="s">
        <v>1768</v>
      </c>
      <c r="F349">
        <v>1002</v>
      </c>
      <c r="G349" t="s">
        <v>1436</v>
      </c>
    </row>
    <row r="350" spans="1:7" x14ac:dyDescent="0.3">
      <c r="A350" t="s">
        <v>1769</v>
      </c>
      <c r="B350" t="s">
        <v>643</v>
      </c>
      <c r="C350" t="s">
        <v>1123</v>
      </c>
      <c r="D350" t="s">
        <v>1769</v>
      </c>
      <c r="F350">
        <v>1011</v>
      </c>
      <c r="G350" t="s">
        <v>1437</v>
      </c>
    </row>
    <row r="351" spans="1:7" x14ac:dyDescent="0.3">
      <c r="A351" t="s">
        <v>1770</v>
      </c>
      <c r="B351" t="s">
        <v>648</v>
      </c>
      <c r="C351" t="s">
        <v>649</v>
      </c>
      <c r="D351" t="s">
        <v>1770</v>
      </c>
      <c r="F351">
        <v>1012</v>
      </c>
      <c r="G351" t="s">
        <v>1438</v>
      </c>
    </row>
    <row r="352" spans="1:7" x14ac:dyDescent="0.3">
      <c r="A352" t="s">
        <v>1043</v>
      </c>
      <c r="B352" t="s">
        <v>525</v>
      </c>
      <c r="C352" t="s">
        <v>645</v>
      </c>
      <c r="D352" t="s">
        <v>1043</v>
      </c>
      <c r="F352">
        <v>1013</v>
      </c>
      <c r="G352" t="s">
        <v>1439</v>
      </c>
    </row>
    <row r="353" spans="1:7" x14ac:dyDescent="0.3">
      <c r="A353" t="s">
        <v>1044</v>
      </c>
      <c r="B353" t="s">
        <v>633</v>
      </c>
      <c r="C353" t="s">
        <v>634</v>
      </c>
      <c r="D353" t="s">
        <v>1044</v>
      </c>
      <c r="F353">
        <v>1014</v>
      </c>
      <c r="G353" t="s">
        <v>1440</v>
      </c>
    </row>
    <row r="354" spans="1:7" x14ac:dyDescent="0.3">
      <c r="A354" t="s">
        <v>1045</v>
      </c>
      <c r="B354" t="s">
        <v>651</v>
      </c>
      <c r="D354" t="s">
        <v>1045</v>
      </c>
      <c r="F354">
        <v>1015</v>
      </c>
      <c r="G354" t="s">
        <v>1441</v>
      </c>
    </row>
    <row r="355" spans="1:7" x14ac:dyDescent="0.3">
      <c r="A355" t="s">
        <v>1046</v>
      </c>
      <c r="B355" t="s">
        <v>652</v>
      </c>
      <c r="C355" t="s">
        <v>653</v>
      </c>
      <c r="D355" t="s">
        <v>1046</v>
      </c>
      <c r="F355">
        <v>1016</v>
      </c>
      <c r="G355" t="s">
        <v>1442</v>
      </c>
    </row>
    <row r="356" spans="1:7" x14ac:dyDescent="0.3">
      <c r="A356" t="s">
        <v>1047</v>
      </c>
      <c r="B356" t="s">
        <v>655</v>
      </c>
      <c r="C356" t="s">
        <v>656</v>
      </c>
      <c r="D356" t="s">
        <v>1047</v>
      </c>
      <c r="F356">
        <v>1021</v>
      </c>
      <c r="G356" t="s">
        <v>1443</v>
      </c>
    </row>
    <row r="357" spans="1:7" x14ac:dyDescent="0.3">
      <c r="A357" t="s">
        <v>1048</v>
      </c>
      <c r="B357" t="s">
        <v>658</v>
      </c>
      <c r="C357" t="s">
        <v>658</v>
      </c>
      <c r="D357" t="s">
        <v>1048</v>
      </c>
      <c r="F357">
        <v>1022</v>
      </c>
      <c r="G357" t="s">
        <v>1444</v>
      </c>
    </row>
    <row r="358" spans="1:7" x14ac:dyDescent="0.3">
      <c r="A358" t="s">
        <v>1049</v>
      </c>
      <c r="B358" t="s">
        <v>659</v>
      </c>
      <c r="C358" t="s">
        <v>659</v>
      </c>
      <c r="D358" t="s">
        <v>1049</v>
      </c>
      <c r="F358">
        <v>1023</v>
      </c>
      <c r="G358" t="s">
        <v>1445</v>
      </c>
    </row>
    <row r="359" spans="1:7" x14ac:dyDescent="0.3">
      <c r="A359" t="s">
        <v>1945</v>
      </c>
      <c r="B359" t="s">
        <v>729</v>
      </c>
      <c r="C359" t="s">
        <v>729</v>
      </c>
      <c r="D359" t="s">
        <v>1945</v>
      </c>
      <c r="F359">
        <v>1031</v>
      </c>
      <c r="G359" t="s">
        <v>1446</v>
      </c>
    </row>
    <row r="360" spans="1:7" x14ac:dyDescent="0.3">
      <c r="A360" t="s">
        <v>1050</v>
      </c>
      <c r="B360" t="s">
        <v>660</v>
      </c>
      <c r="C360" t="s">
        <v>661</v>
      </c>
      <c r="D360" t="s">
        <v>1050</v>
      </c>
      <c r="F360">
        <v>1032</v>
      </c>
      <c r="G360" t="s">
        <v>1447</v>
      </c>
    </row>
    <row r="361" spans="1:7" x14ac:dyDescent="0.3">
      <c r="A361" t="s">
        <v>1051</v>
      </c>
      <c r="B361" t="s">
        <v>663</v>
      </c>
      <c r="C361" t="s">
        <v>664</v>
      </c>
      <c r="D361" t="s">
        <v>1051</v>
      </c>
      <c r="F361">
        <v>1033</v>
      </c>
      <c r="G361" t="s">
        <v>1448</v>
      </c>
    </row>
    <row r="362" spans="1:7" x14ac:dyDescent="0.3">
      <c r="A362" t="s">
        <v>1771</v>
      </c>
      <c r="B362" t="s">
        <v>667</v>
      </c>
      <c r="C362" t="s">
        <v>668</v>
      </c>
      <c r="D362" t="s">
        <v>1771</v>
      </c>
      <c r="F362">
        <v>1034</v>
      </c>
      <c r="G362" t="s">
        <v>1449</v>
      </c>
    </row>
    <row r="363" spans="1:7" x14ac:dyDescent="0.3">
      <c r="A363" t="s">
        <v>1772</v>
      </c>
      <c r="B363" t="s">
        <v>669</v>
      </c>
      <c r="C363" t="s">
        <v>670</v>
      </c>
      <c r="D363" t="s">
        <v>1772</v>
      </c>
      <c r="F363">
        <v>1035</v>
      </c>
      <c r="G363" t="s">
        <v>1450</v>
      </c>
    </row>
    <row r="364" spans="1:7" x14ac:dyDescent="0.3">
      <c r="A364" t="s">
        <v>1773</v>
      </c>
      <c r="B364" t="s">
        <v>671</v>
      </c>
      <c r="C364" t="s">
        <v>672</v>
      </c>
      <c r="D364" t="s">
        <v>1773</v>
      </c>
      <c r="F364">
        <v>1036</v>
      </c>
      <c r="G364" t="s">
        <v>1451</v>
      </c>
    </row>
    <row r="365" spans="1:7" x14ac:dyDescent="0.3">
      <c r="A365" t="s">
        <v>1943</v>
      </c>
      <c r="B365" t="s">
        <v>1941</v>
      </c>
      <c r="C365" t="s">
        <v>1941</v>
      </c>
      <c r="D365" t="s">
        <v>1943</v>
      </c>
      <c r="F365">
        <v>1037</v>
      </c>
      <c r="G365" t="s">
        <v>1452</v>
      </c>
    </row>
    <row r="366" spans="1:7" x14ac:dyDescent="0.3">
      <c r="A366" t="s">
        <v>1052</v>
      </c>
      <c r="B366" t="s">
        <v>673</v>
      </c>
      <c r="C366" t="s">
        <v>674</v>
      </c>
      <c r="D366" t="s">
        <v>1052</v>
      </c>
      <c r="F366">
        <v>1038</v>
      </c>
      <c r="G366" t="s">
        <v>1453</v>
      </c>
    </row>
    <row r="367" spans="1:7" x14ac:dyDescent="0.3">
      <c r="A367" t="s">
        <v>1053</v>
      </c>
      <c r="B367" t="s">
        <v>676</v>
      </c>
      <c r="C367" t="s">
        <v>677</v>
      </c>
      <c r="D367" t="s">
        <v>1053</v>
      </c>
      <c r="F367">
        <v>1039</v>
      </c>
      <c r="G367" t="s">
        <v>1454</v>
      </c>
    </row>
    <row r="368" spans="1:7" x14ac:dyDescent="0.3">
      <c r="A368" t="s">
        <v>1054</v>
      </c>
      <c r="B368" t="s">
        <v>678</v>
      </c>
      <c r="C368" t="s">
        <v>679</v>
      </c>
      <c r="D368" t="s">
        <v>1054</v>
      </c>
      <c r="F368">
        <v>1051</v>
      </c>
      <c r="G368" t="s">
        <v>1455</v>
      </c>
    </row>
    <row r="369" spans="1:7" x14ac:dyDescent="0.3">
      <c r="A369" t="s">
        <v>1055</v>
      </c>
      <c r="B369" t="s">
        <v>680</v>
      </c>
      <c r="C369" t="s">
        <v>681</v>
      </c>
      <c r="D369" t="s">
        <v>1055</v>
      </c>
      <c r="F369">
        <v>1052</v>
      </c>
      <c r="G369" t="s">
        <v>1456</v>
      </c>
    </row>
    <row r="370" spans="1:7" x14ac:dyDescent="0.3">
      <c r="A370" t="s">
        <v>1056</v>
      </c>
      <c r="B370" t="s">
        <v>683</v>
      </c>
      <c r="D370" t="s">
        <v>1056</v>
      </c>
      <c r="F370">
        <v>1053</v>
      </c>
      <c r="G370" t="s">
        <v>1457</v>
      </c>
    </row>
    <row r="371" spans="1:7" x14ac:dyDescent="0.3">
      <c r="A371" t="s">
        <v>1057</v>
      </c>
      <c r="B371" t="s">
        <v>685</v>
      </c>
      <c r="D371" t="s">
        <v>1057</v>
      </c>
      <c r="F371">
        <v>1054</v>
      </c>
      <c r="G371" t="s">
        <v>1458</v>
      </c>
    </row>
    <row r="372" spans="1:7" x14ac:dyDescent="0.3">
      <c r="A372" t="s">
        <v>1058</v>
      </c>
      <c r="B372" t="s">
        <v>687</v>
      </c>
      <c r="D372" t="s">
        <v>1058</v>
      </c>
      <c r="F372">
        <v>1055</v>
      </c>
      <c r="G372" t="s">
        <v>1459</v>
      </c>
    </row>
    <row r="373" spans="1:7" x14ac:dyDescent="0.3">
      <c r="A373" t="s">
        <v>1059</v>
      </c>
      <c r="B373" t="s">
        <v>689</v>
      </c>
      <c r="D373" t="s">
        <v>1059</v>
      </c>
      <c r="F373">
        <v>1056</v>
      </c>
      <c r="G373" t="s">
        <v>1460</v>
      </c>
    </row>
    <row r="374" spans="1:7" x14ac:dyDescent="0.3">
      <c r="A374" t="s">
        <v>1060</v>
      </c>
      <c r="B374" t="s">
        <v>690</v>
      </c>
      <c r="D374" t="s">
        <v>1060</v>
      </c>
      <c r="F374">
        <v>1057</v>
      </c>
      <c r="G374" t="s">
        <v>1461</v>
      </c>
    </row>
    <row r="375" spans="1:7" x14ac:dyDescent="0.3">
      <c r="A375" t="s">
        <v>1061</v>
      </c>
      <c r="B375" t="s">
        <v>692</v>
      </c>
      <c r="D375" t="s">
        <v>1061</v>
      </c>
      <c r="F375">
        <v>1058</v>
      </c>
      <c r="G375" t="s">
        <v>1462</v>
      </c>
    </row>
    <row r="376" spans="1:7" x14ac:dyDescent="0.3">
      <c r="A376" t="s">
        <v>1062</v>
      </c>
      <c r="B376" t="s">
        <v>694</v>
      </c>
      <c r="C376" t="s">
        <v>694</v>
      </c>
      <c r="D376" t="s">
        <v>1062</v>
      </c>
      <c r="F376">
        <v>1059</v>
      </c>
      <c r="G376" t="s">
        <v>1463</v>
      </c>
    </row>
    <row r="377" spans="1:7" x14ac:dyDescent="0.3">
      <c r="A377" t="s">
        <v>1063</v>
      </c>
      <c r="B377" t="s">
        <v>696</v>
      </c>
      <c r="C377" t="s">
        <v>696</v>
      </c>
      <c r="D377" t="s">
        <v>1063</v>
      </c>
      <c r="F377">
        <v>1060</v>
      </c>
      <c r="G377" t="s">
        <v>1464</v>
      </c>
    </row>
    <row r="378" spans="1:7" x14ac:dyDescent="0.3">
      <c r="A378" t="s">
        <v>1064</v>
      </c>
      <c r="B378" t="s">
        <v>725</v>
      </c>
      <c r="C378" t="s">
        <v>726</v>
      </c>
      <c r="D378" t="s">
        <v>1064</v>
      </c>
      <c r="F378">
        <v>1061</v>
      </c>
      <c r="G378" t="s">
        <v>1465</v>
      </c>
    </row>
    <row r="379" spans="1:7" x14ac:dyDescent="0.3">
      <c r="A379" t="s">
        <v>1065</v>
      </c>
      <c r="B379" t="s">
        <v>727</v>
      </c>
      <c r="C379" t="s">
        <v>727</v>
      </c>
      <c r="D379" t="s">
        <v>1065</v>
      </c>
      <c r="F379">
        <v>1071</v>
      </c>
      <c r="G379" t="s">
        <v>1466</v>
      </c>
    </row>
    <row r="380" spans="1:7" x14ac:dyDescent="0.3">
      <c r="A380" t="s">
        <v>1066</v>
      </c>
      <c r="B380" t="s">
        <v>346</v>
      </c>
      <c r="D380" t="s">
        <v>1066</v>
      </c>
      <c r="F380">
        <v>1072</v>
      </c>
      <c r="G380" t="s">
        <v>1467</v>
      </c>
    </row>
    <row r="381" spans="1:7" x14ac:dyDescent="0.3">
      <c r="A381" t="s">
        <v>1067</v>
      </c>
      <c r="B381" t="s">
        <v>699</v>
      </c>
      <c r="C381" t="s">
        <v>700</v>
      </c>
      <c r="D381" t="s">
        <v>1067</v>
      </c>
      <c r="F381">
        <v>1073</v>
      </c>
      <c r="G381" t="s">
        <v>1468</v>
      </c>
    </row>
    <row r="382" spans="1:7" x14ac:dyDescent="0.3">
      <c r="A382" t="s">
        <v>1068</v>
      </c>
      <c r="B382" t="s">
        <v>701</v>
      </c>
      <c r="C382" t="s">
        <v>702</v>
      </c>
      <c r="D382" t="s">
        <v>1068</v>
      </c>
      <c r="F382">
        <v>1074</v>
      </c>
      <c r="G382" t="s">
        <v>1469</v>
      </c>
    </row>
    <row r="383" spans="1:7" x14ac:dyDescent="0.3">
      <c r="A383" t="s">
        <v>1069</v>
      </c>
      <c r="B383" t="s">
        <v>712</v>
      </c>
      <c r="C383" t="s">
        <v>713</v>
      </c>
      <c r="D383" t="s">
        <v>1069</v>
      </c>
      <c r="F383">
        <v>1080</v>
      </c>
      <c r="G383" t="s">
        <v>1470</v>
      </c>
    </row>
    <row r="384" spans="1:7" x14ac:dyDescent="0.3">
      <c r="A384" t="s">
        <v>1070</v>
      </c>
      <c r="B384" t="s">
        <v>709</v>
      </c>
      <c r="C384" t="s">
        <v>709</v>
      </c>
      <c r="D384" t="s">
        <v>1070</v>
      </c>
      <c r="F384">
        <v>2001</v>
      </c>
      <c r="G384" t="s">
        <v>1471</v>
      </c>
    </row>
    <row r="385" spans="1:7" x14ac:dyDescent="0.3">
      <c r="A385" t="s">
        <v>1071</v>
      </c>
      <c r="B385" t="s">
        <v>703</v>
      </c>
      <c r="C385" t="s">
        <v>1122</v>
      </c>
      <c r="D385" t="s">
        <v>1071</v>
      </c>
      <c r="F385">
        <v>2002</v>
      </c>
      <c r="G385" t="s">
        <v>1472</v>
      </c>
    </row>
    <row r="386" spans="1:7" x14ac:dyDescent="0.3">
      <c r="A386" t="s">
        <v>1072</v>
      </c>
      <c r="B386" t="s">
        <v>714</v>
      </c>
      <c r="C386" t="s">
        <v>715</v>
      </c>
      <c r="D386" t="s">
        <v>1072</v>
      </c>
      <c r="F386">
        <v>2003</v>
      </c>
      <c r="G386" t="s">
        <v>1473</v>
      </c>
    </row>
    <row r="387" spans="1:7" x14ac:dyDescent="0.3">
      <c r="A387" t="s">
        <v>1073</v>
      </c>
      <c r="B387" t="s">
        <v>732</v>
      </c>
      <c r="C387" t="s">
        <v>732</v>
      </c>
      <c r="D387" t="s">
        <v>1073</v>
      </c>
      <c r="F387">
        <v>2004</v>
      </c>
      <c r="G387" t="s">
        <v>1474</v>
      </c>
    </row>
    <row r="388" spans="1:7" x14ac:dyDescent="0.3">
      <c r="A388" t="s">
        <v>1074</v>
      </c>
      <c r="B388" t="s">
        <v>716</v>
      </c>
      <c r="C388" t="s">
        <v>716</v>
      </c>
      <c r="D388" t="s">
        <v>1074</v>
      </c>
      <c r="F388">
        <v>2005</v>
      </c>
      <c r="G388" t="s">
        <v>1475</v>
      </c>
    </row>
    <row r="389" spans="1:7" x14ac:dyDescent="0.3">
      <c r="A389" t="s">
        <v>1075</v>
      </c>
      <c r="B389" t="s">
        <v>718</v>
      </c>
      <c r="C389" t="s">
        <v>718</v>
      </c>
      <c r="D389" t="s">
        <v>1075</v>
      </c>
      <c r="F389">
        <v>2006</v>
      </c>
      <c r="G389" t="s">
        <v>1476</v>
      </c>
    </row>
    <row r="390" spans="1:7" x14ac:dyDescent="0.3">
      <c r="A390" t="s">
        <v>1076</v>
      </c>
      <c r="B390" t="s">
        <v>2100</v>
      </c>
      <c r="C390" t="s">
        <v>728</v>
      </c>
      <c r="D390" t="s">
        <v>1076</v>
      </c>
      <c r="F390">
        <v>2012</v>
      </c>
      <c r="G390" t="s">
        <v>1477</v>
      </c>
    </row>
    <row r="391" spans="1:7" x14ac:dyDescent="0.3">
      <c r="A391" t="s">
        <v>1077</v>
      </c>
      <c r="B391" t="s">
        <v>733</v>
      </c>
      <c r="C391" t="s">
        <v>734</v>
      </c>
      <c r="D391" t="s">
        <v>1077</v>
      </c>
      <c r="F391">
        <v>2013</v>
      </c>
      <c r="G391" t="s">
        <v>1478</v>
      </c>
    </row>
    <row r="392" spans="1:7" x14ac:dyDescent="0.3">
      <c r="A392" t="s">
        <v>1078</v>
      </c>
      <c r="B392" t="s">
        <v>767</v>
      </c>
      <c r="C392" t="s">
        <v>768</v>
      </c>
      <c r="D392" t="s">
        <v>1078</v>
      </c>
      <c r="F392">
        <v>2014</v>
      </c>
      <c r="G392" t="s">
        <v>1479</v>
      </c>
    </row>
    <row r="393" spans="1:7" x14ac:dyDescent="0.3">
      <c r="A393" t="s">
        <v>1774</v>
      </c>
      <c r="B393" t="s">
        <v>1669</v>
      </c>
      <c r="C393" t="s">
        <v>766</v>
      </c>
      <c r="D393" t="s">
        <v>1774</v>
      </c>
      <c r="F393">
        <v>2021</v>
      </c>
      <c r="G393" t="s">
        <v>1480</v>
      </c>
    </row>
    <row r="394" spans="1:7" x14ac:dyDescent="0.3">
      <c r="A394" t="s">
        <v>1775</v>
      </c>
      <c r="B394" t="s">
        <v>1959</v>
      </c>
      <c r="C394" t="s">
        <v>1959</v>
      </c>
      <c r="D394" t="s">
        <v>1775</v>
      </c>
      <c r="F394">
        <v>2022</v>
      </c>
      <c r="G394" t="s">
        <v>1481</v>
      </c>
    </row>
    <row r="395" spans="1:7" x14ac:dyDescent="0.3">
      <c r="A395" t="s">
        <v>1776</v>
      </c>
      <c r="B395" t="s">
        <v>769</v>
      </c>
      <c r="C395" t="s">
        <v>770</v>
      </c>
      <c r="D395" t="s">
        <v>1776</v>
      </c>
      <c r="F395">
        <v>2023</v>
      </c>
      <c r="G395" t="s">
        <v>1482</v>
      </c>
    </row>
    <row r="396" spans="1:7" x14ac:dyDescent="0.3">
      <c r="A396" t="s">
        <v>1079</v>
      </c>
      <c r="B396" t="s">
        <v>735</v>
      </c>
      <c r="C396" t="s">
        <v>736</v>
      </c>
      <c r="D396" t="s">
        <v>1079</v>
      </c>
      <c r="F396">
        <v>2024</v>
      </c>
      <c r="G396" t="s">
        <v>1483</v>
      </c>
    </row>
    <row r="397" spans="1:7" x14ac:dyDescent="0.3">
      <c r="A397" t="s">
        <v>1080</v>
      </c>
      <c r="B397" t="s">
        <v>737</v>
      </c>
      <c r="C397" t="s">
        <v>737</v>
      </c>
      <c r="D397" t="s">
        <v>1080</v>
      </c>
      <c r="F397">
        <v>2025</v>
      </c>
      <c r="G397" t="s">
        <v>1484</v>
      </c>
    </row>
    <row r="398" spans="1:7" x14ac:dyDescent="0.3">
      <c r="A398" t="s">
        <v>1081</v>
      </c>
      <c r="B398" t="s">
        <v>738</v>
      </c>
      <c r="C398" t="s">
        <v>59</v>
      </c>
      <c r="D398" t="s">
        <v>1081</v>
      </c>
      <c r="F398">
        <v>2026</v>
      </c>
      <c r="G398" t="s">
        <v>1485</v>
      </c>
    </row>
    <row r="399" spans="1:7" x14ac:dyDescent="0.3">
      <c r="A399" t="s">
        <v>1082</v>
      </c>
      <c r="B399" t="s">
        <v>739</v>
      </c>
      <c r="C399" t="s">
        <v>739</v>
      </c>
      <c r="D399" t="s">
        <v>1082</v>
      </c>
      <c r="F399">
        <v>2031</v>
      </c>
      <c r="G399" t="s">
        <v>1486</v>
      </c>
    </row>
    <row r="400" spans="1:7" x14ac:dyDescent="0.3">
      <c r="A400" t="s">
        <v>1777</v>
      </c>
      <c r="B400" t="s">
        <v>740</v>
      </c>
      <c r="C400" t="s">
        <v>740</v>
      </c>
      <c r="D400" t="s">
        <v>1777</v>
      </c>
      <c r="F400">
        <v>2041</v>
      </c>
      <c r="G400" t="s">
        <v>1487</v>
      </c>
    </row>
    <row r="401" spans="1:7" x14ac:dyDescent="0.3">
      <c r="A401" t="s">
        <v>1083</v>
      </c>
      <c r="B401" t="s">
        <v>741</v>
      </c>
      <c r="C401" t="s">
        <v>741</v>
      </c>
      <c r="D401" t="s">
        <v>1083</v>
      </c>
      <c r="F401">
        <v>3000</v>
      </c>
      <c r="G401" t="s">
        <v>1488</v>
      </c>
    </row>
    <row r="402" spans="1:7" x14ac:dyDescent="0.3">
      <c r="A402" t="s">
        <v>1778</v>
      </c>
      <c r="B402" t="s">
        <v>742</v>
      </c>
      <c r="C402" t="s">
        <v>742</v>
      </c>
      <c r="D402" t="s">
        <v>1778</v>
      </c>
      <c r="F402">
        <v>3001</v>
      </c>
      <c r="G402" t="s">
        <v>1489</v>
      </c>
    </row>
    <row r="403" spans="1:7" x14ac:dyDescent="0.3">
      <c r="A403" t="s">
        <v>1084</v>
      </c>
      <c r="B403" t="s">
        <v>743</v>
      </c>
      <c r="C403" t="s">
        <v>743</v>
      </c>
      <c r="D403" t="s">
        <v>1084</v>
      </c>
      <c r="F403">
        <v>3002</v>
      </c>
      <c r="G403" t="s">
        <v>1490</v>
      </c>
    </row>
    <row r="404" spans="1:7" x14ac:dyDescent="0.3">
      <c r="A404" t="s">
        <v>1779</v>
      </c>
      <c r="B404" t="s">
        <v>744</v>
      </c>
      <c r="C404" t="s">
        <v>744</v>
      </c>
      <c r="D404" t="s">
        <v>1779</v>
      </c>
      <c r="F404">
        <v>3003</v>
      </c>
      <c r="G404" t="s">
        <v>1491</v>
      </c>
    </row>
    <row r="405" spans="1:7" x14ac:dyDescent="0.3">
      <c r="A405" t="s">
        <v>1085</v>
      </c>
      <c r="B405" t="s">
        <v>1961</v>
      </c>
      <c r="C405" t="s">
        <v>719</v>
      </c>
      <c r="D405" t="s">
        <v>1085</v>
      </c>
      <c r="F405">
        <v>3004</v>
      </c>
      <c r="G405" t="s">
        <v>1492</v>
      </c>
    </row>
    <row r="406" spans="1:7" x14ac:dyDescent="0.3">
      <c r="A406" t="s">
        <v>1086</v>
      </c>
      <c r="B406" t="s">
        <v>1962</v>
      </c>
      <c r="C406" t="s">
        <v>724</v>
      </c>
      <c r="D406" t="s">
        <v>1086</v>
      </c>
      <c r="F406">
        <v>3005</v>
      </c>
      <c r="G406" t="s">
        <v>1493</v>
      </c>
    </row>
    <row r="407" spans="1:7" x14ac:dyDescent="0.3">
      <c r="A407" t="s">
        <v>1087</v>
      </c>
      <c r="B407" t="s">
        <v>1963</v>
      </c>
      <c r="C407" t="s">
        <v>720</v>
      </c>
      <c r="D407" t="s">
        <v>1087</v>
      </c>
      <c r="F407">
        <v>3011</v>
      </c>
      <c r="G407" t="s">
        <v>1494</v>
      </c>
    </row>
    <row r="408" spans="1:7" x14ac:dyDescent="0.3">
      <c r="A408" t="s">
        <v>1088</v>
      </c>
      <c r="B408" t="s">
        <v>1964</v>
      </c>
      <c r="C408" t="s">
        <v>1947</v>
      </c>
      <c r="D408" t="s">
        <v>1088</v>
      </c>
      <c r="F408">
        <v>3012</v>
      </c>
      <c r="G408" t="s">
        <v>1495</v>
      </c>
    </row>
    <row r="409" spans="1:7" x14ac:dyDescent="0.3">
      <c r="A409" t="s">
        <v>1089</v>
      </c>
      <c r="B409" t="s">
        <v>721</v>
      </c>
      <c r="C409" t="s">
        <v>722</v>
      </c>
      <c r="D409" t="s">
        <v>1089</v>
      </c>
      <c r="F409">
        <v>3013</v>
      </c>
      <c r="G409" t="s">
        <v>1496</v>
      </c>
    </row>
    <row r="410" spans="1:7" x14ac:dyDescent="0.3">
      <c r="A410" t="s">
        <v>1090</v>
      </c>
      <c r="B410" t="s">
        <v>771</v>
      </c>
      <c r="C410" t="s">
        <v>771</v>
      </c>
      <c r="D410" t="s">
        <v>1090</v>
      </c>
      <c r="F410">
        <v>3014</v>
      </c>
      <c r="G410" t="s">
        <v>1497</v>
      </c>
    </row>
    <row r="411" spans="1:7" x14ac:dyDescent="0.3">
      <c r="A411" t="s">
        <v>1091</v>
      </c>
      <c r="B411" t="s">
        <v>771</v>
      </c>
      <c r="C411" t="s">
        <v>773</v>
      </c>
      <c r="D411" t="s">
        <v>1091</v>
      </c>
      <c r="F411">
        <v>3015</v>
      </c>
      <c r="G411" t="s">
        <v>1498</v>
      </c>
    </row>
    <row r="412" spans="1:7" x14ac:dyDescent="0.3">
      <c r="A412" t="s">
        <v>1092</v>
      </c>
      <c r="B412" t="s">
        <v>48</v>
      </c>
      <c r="C412" t="s">
        <v>48</v>
      </c>
      <c r="D412" t="s">
        <v>1092</v>
      </c>
      <c r="F412">
        <v>3021</v>
      </c>
      <c r="G412" t="s">
        <v>1499</v>
      </c>
    </row>
    <row r="413" spans="1:7" x14ac:dyDescent="0.3">
      <c r="A413" t="s">
        <v>1093</v>
      </c>
      <c r="B413" t="s">
        <v>775</v>
      </c>
      <c r="C413" t="s">
        <v>776</v>
      </c>
      <c r="D413" t="s">
        <v>1093</v>
      </c>
      <c r="F413">
        <v>3022</v>
      </c>
      <c r="G413" t="s">
        <v>1500</v>
      </c>
    </row>
    <row r="414" spans="1:7" x14ac:dyDescent="0.3">
      <c r="A414" t="s">
        <v>1094</v>
      </c>
      <c r="B414" t="s">
        <v>778</v>
      </c>
      <c r="C414" t="s">
        <v>779</v>
      </c>
      <c r="D414" t="s">
        <v>1094</v>
      </c>
      <c r="F414">
        <v>4000</v>
      </c>
      <c r="G414" t="s">
        <v>1501</v>
      </c>
    </row>
    <row r="415" spans="1:7" x14ac:dyDescent="0.3">
      <c r="A415" t="s">
        <v>1780</v>
      </c>
      <c r="B415" t="s">
        <v>794</v>
      </c>
      <c r="C415" t="s">
        <v>794</v>
      </c>
      <c r="D415" t="s">
        <v>1780</v>
      </c>
      <c r="F415">
        <v>4001</v>
      </c>
      <c r="G415" t="s">
        <v>1502</v>
      </c>
    </row>
    <row r="416" spans="1:7" x14ac:dyDescent="0.3">
      <c r="A416" t="s">
        <v>1095</v>
      </c>
      <c r="B416" t="s">
        <v>616</v>
      </c>
      <c r="C416" t="s">
        <v>616</v>
      </c>
      <c r="D416" t="s">
        <v>1095</v>
      </c>
      <c r="F416">
        <v>4002</v>
      </c>
      <c r="G416" t="s">
        <v>1503</v>
      </c>
    </row>
    <row r="417" spans="1:7" x14ac:dyDescent="0.3">
      <c r="A417" t="s">
        <v>1096</v>
      </c>
      <c r="B417" t="s">
        <v>780</v>
      </c>
      <c r="C417" t="s">
        <v>780</v>
      </c>
      <c r="D417" t="s">
        <v>1096</v>
      </c>
      <c r="F417">
        <v>4003</v>
      </c>
      <c r="G417" t="s">
        <v>1504</v>
      </c>
    </row>
    <row r="418" spans="1:7" x14ac:dyDescent="0.3">
      <c r="A418" t="s">
        <v>1097</v>
      </c>
      <c r="B418" t="s">
        <v>781</v>
      </c>
      <c r="C418" t="s">
        <v>781</v>
      </c>
      <c r="D418" t="s">
        <v>1097</v>
      </c>
      <c r="F418">
        <v>4004</v>
      </c>
      <c r="G418" t="s">
        <v>1505</v>
      </c>
    </row>
    <row r="419" spans="1:7" x14ac:dyDescent="0.3">
      <c r="A419" t="s">
        <v>1098</v>
      </c>
      <c r="B419" t="s">
        <v>783</v>
      </c>
      <c r="C419" t="s">
        <v>783</v>
      </c>
      <c r="D419" t="s">
        <v>1098</v>
      </c>
      <c r="F419">
        <v>4005</v>
      </c>
      <c r="G419" t="s">
        <v>1506</v>
      </c>
    </row>
    <row r="420" spans="1:7" x14ac:dyDescent="0.3">
      <c r="A420" t="s">
        <v>1099</v>
      </c>
      <c r="B420" t="s">
        <v>784</v>
      </c>
      <c r="C420" t="s">
        <v>785</v>
      </c>
      <c r="D420" t="s">
        <v>1099</v>
      </c>
      <c r="F420">
        <v>4006</v>
      </c>
      <c r="G420" t="s">
        <v>1507</v>
      </c>
    </row>
    <row r="421" spans="1:7" x14ac:dyDescent="0.3">
      <c r="A421" t="s">
        <v>1781</v>
      </c>
      <c r="B421" t="s">
        <v>795</v>
      </c>
      <c r="C421" t="s">
        <v>795</v>
      </c>
      <c r="D421" t="s">
        <v>1781</v>
      </c>
      <c r="F421">
        <v>4010</v>
      </c>
      <c r="G421" t="s">
        <v>1508</v>
      </c>
    </row>
    <row r="422" spans="1:7" x14ac:dyDescent="0.3">
      <c r="A422" t="s">
        <v>1782</v>
      </c>
      <c r="B422" t="s">
        <v>796</v>
      </c>
      <c r="C422" t="s">
        <v>796</v>
      </c>
      <c r="D422" t="s">
        <v>1782</v>
      </c>
      <c r="F422">
        <v>4011</v>
      </c>
      <c r="G422" t="s">
        <v>1509</v>
      </c>
    </row>
    <row r="423" spans="1:7" x14ac:dyDescent="0.3">
      <c r="A423" t="s">
        <v>1783</v>
      </c>
      <c r="B423" t="s">
        <v>798</v>
      </c>
      <c r="C423" t="s">
        <v>798</v>
      </c>
      <c r="D423" t="s">
        <v>1783</v>
      </c>
      <c r="F423">
        <v>4012</v>
      </c>
      <c r="G423" t="s">
        <v>1510</v>
      </c>
    </row>
    <row r="424" spans="1:7" x14ac:dyDescent="0.3">
      <c r="A424" t="s">
        <v>1784</v>
      </c>
      <c r="B424" t="s">
        <v>799</v>
      </c>
      <c r="C424" t="s">
        <v>799</v>
      </c>
      <c r="D424" t="s">
        <v>1784</v>
      </c>
      <c r="F424">
        <v>4013</v>
      </c>
      <c r="G424" t="s">
        <v>1511</v>
      </c>
    </row>
    <row r="425" spans="1:7" x14ac:dyDescent="0.3">
      <c r="A425" t="s">
        <v>1785</v>
      </c>
      <c r="B425" t="s">
        <v>797</v>
      </c>
      <c r="C425" t="s">
        <v>797</v>
      </c>
      <c r="D425" t="s">
        <v>1785</v>
      </c>
      <c r="F425">
        <v>4014</v>
      </c>
      <c r="G425" t="s">
        <v>1512</v>
      </c>
    </row>
    <row r="426" spans="1:7" x14ac:dyDescent="0.3">
      <c r="A426" t="s">
        <v>1100</v>
      </c>
      <c r="B426" t="s">
        <v>756</v>
      </c>
      <c r="C426" t="s">
        <v>756</v>
      </c>
      <c r="D426" t="s">
        <v>1100</v>
      </c>
      <c r="F426">
        <v>4015</v>
      </c>
      <c r="G426" t="s">
        <v>1513</v>
      </c>
    </row>
    <row r="427" spans="1:7" x14ac:dyDescent="0.3">
      <c r="A427" t="s">
        <v>1101</v>
      </c>
      <c r="B427" t="s">
        <v>757</v>
      </c>
      <c r="C427" t="s">
        <v>757</v>
      </c>
      <c r="D427" t="s">
        <v>1101</v>
      </c>
      <c r="F427">
        <v>4016</v>
      </c>
      <c r="G427" t="s">
        <v>1514</v>
      </c>
    </row>
    <row r="428" spans="1:7" x14ac:dyDescent="0.3">
      <c r="A428" t="s">
        <v>1102</v>
      </c>
      <c r="B428" t="s">
        <v>786</v>
      </c>
      <c r="C428" t="s">
        <v>786</v>
      </c>
      <c r="D428" t="s">
        <v>1102</v>
      </c>
      <c r="F428">
        <v>4020</v>
      </c>
      <c r="G428" t="s">
        <v>1515</v>
      </c>
    </row>
    <row r="429" spans="1:7" x14ac:dyDescent="0.3">
      <c r="A429" t="s">
        <v>1103</v>
      </c>
      <c r="B429" t="s">
        <v>787</v>
      </c>
      <c r="C429" t="s">
        <v>788</v>
      </c>
      <c r="D429" t="s">
        <v>1103</v>
      </c>
      <c r="F429">
        <v>4021</v>
      </c>
      <c r="G429" t="s">
        <v>1516</v>
      </c>
    </row>
    <row r="430" spans="1:7" x14ac:dyDescent="0.3">
      <c r="A430" t="s">
        <v>1104</v>
      </c>
      <c r="B430" t="s">
        <v>753</v>
      </c>
      <c r="C430" t="s">
        <v>754</v>
      </c>
      <c r="D430" t="s">
        <v>1104</v>
      </c>
      <c r="F430">
        <v>4031</v>
      </c>
      <c r="G430" t="s">
        <v>1517</v>
      </c>
    </row>
    <row r="431" spans="1:7" x14ac:dyDescent="0.3">
      <c r="A431" t="s">
        <v>1105</v>
      </c>
      <c r="B431" t="s">
        <v>745</v>
      </c>
      <c r="C431" t="s">
        <v>746</v>
      </c>
      <c r="D431" t="s">
        <v>1105</v>
      </c>
      <c r="F431">
        <v>6001</v>
      </c>
      <c r="G431" t="s">
        <v>1518</v>
      </c>
    </row>
    <row r="432" spans="1:7" x14ac:dyDescent="0.3">
      <c r="A432" t="s">
        <v>1106</v>
      </c>
      <c r="B432" t="s">
        <v>747</v>
      </c>
      <c r="C432" t="s">
        <v>748</v>
      </c>
      <c r="D432" t="s">
        <v>1106</v>
      </c>
      <c r="F432">
        <v>6002</v>
      </c>
      <c r="G432" t="s">
        <v>1519</v>
      </c>
    </row>
    <row r="433" spans="1:7" x14ac:dyDescent="0.3">
      <c r="A433" t="s">
        <v>1107</v>
      </c>
      <c r="B433" t="s">
        <v>749</v>
      </c>
      <c r="C433" t="s">
        <v>750</v>
      </c>
      <c r="D433" t="s">
        <v>1107</v>
      </c>
      <c r="F433">
        <v>7030</v>
      </c>
      <c r="G433" t="s">
        <v>1520</v>
      </c>
    </row>
    <row r="434" spans="1:7" x14ac:dyDescent="0.3">
      <c r="A434" t="s">
        <v>1108</v>
      </c>
      <c r="B434" t="s">
        <v>751</v>
      </c>
      <c r="C434" t="s">
        <v>752</v>
      </c>
      <c r="D434" t="s">
        <v>1108</v>
      </c>
      <c r="F434">
        <v>7040</v>
      </c>
      <c r="G434" t="s">
        <v>1521</v>
      </c>
    </row>
    <row r="435" spans="1:7" x14ac:dyDescent="0.3">
      <c r="A435" t="s">
        <v>1109</v>
      </c>
      <c r="B435" t="s">
        <v>755</v>
      </c>
      <c r="C435" t="s">
        <v>755</v>
      </c>
      <c r="D435" t="s">
        <v>1109</v>
      </c>
      <c r="F435">
        <v>7101</v>
      </c>
      <c r="G435" t="s">
        <v>1522</v>
      </c>
    </row>
    <row r="436" spans="1:7" x14ac:dyDescent="0.3">
      <c r="A436" t="s">
        <v>1110</v>
      </c>
      <c r="B436" t="s">
        <v>758</v>
      </c>
      <c r="C436" t="s">
        <v>759</v>
      </c>
      <c r="D436" t="s">
        <v>1110</v>
      </c>
      <c r="F436">
        <v>7102</v>
      </c>
      <c r="G436" t="s">
        <v>1523</v>
      </c>
    </row>
    <row r="437" spans="1:7" x14ac:dyDescent="0.3">
      <c r="A437" t="s">
        <v>1111</v>
      </c>
      <c r="B437" t="s">
        <v>761</v>
      </c>
      <c r="C437" t="s">
        <v>762</v>
      </c>
      <c r="D437" t="s">
        <v>1111</v>
      </c>
      <c r="F437">
        <v>7103</v>
      </c>
      <c r="G437" t="s">
        <v>1524</v>
      </c>
    </row>
    <row r="438" spans="1:7" x14ac:dyDescent="0.3">
      <c r="A438" t="s">
        <v>1112</v>
      </c>
      <c r="B438" t="s">
        <v>763</v>
      </c>
      <c r="C438" t="s">
        <v>764</v>
      </c>
      <c r="D438" t="s">
        <v>1112</v>
      </c>
      <c r="F438">
        <v>7104</v>
      </c>
      <c r="G438" t="s">
        <v>1525</v>
      </c>
    </row>
    <row r="439" spans="1:7" x14ac:dyDescent="0.3">
      <c r="A439" t="s">
        <v>1113</v>
      </c>
      <c r="B439" s="26" t="s">
        <v>1954</v>
      </c>
      <c r="C439" t="s">
        <v>765</v>
      </c>
      <c r="D439" t="s">
        <v>1113</v>
      </c>
      <c r="F439">
        <v>7105</v>
      </c>
      <c r="G439" t="s">
        <v>1526</v>
      </c>
    </row>
    <row r="440" spans="1:7" x14ac:dyDescent="0.3">
      <c r="A440" t="s">
        <v>1114</v>
      </c>
      <c r="B440" t="s">
        <v>789</v>
      </c>
      <c r="C440" t="s">
        <v>789</v>
      </c>
      <c r="D440" t="s">
        <v>1114</v>
      </c>
      <c r="F440">
        <v>7106</v>
      </c>
      <c r="G440" t="s">
        <v>1527</v>
      </c>
    </row>
    <row r="441" spans="1:7" x14ac:dyDescent="0.3">
      <c r="A441" t="s">
        <v>1115</v>
      </c>
      <c r="B441" t="s">
        <v>790</v>
      </c>
      <c r="C441" t="s">
        <v>790</v>
      </c>
      <c r="D441" t="s">
        <v>1115</v>
      </c>
      <c r="F441">
        <v>7107</v>
      </c>
      <c r="G441" t="s">
        <v>1528</v>
      </c>
    </row>
    <row r="442" spans="1:7" x14ac:dyDescent="0.3">
      <c r="A442" t="s">
        <v>1116</v>
      </c>
      <c r="B442" t="s">
        <v>793</v>
      </c>
      <c r="C442" t="s">
        <v>793</v>
      </c>
      <c r="D442" t="s">
        <v>1116</v>
      </c>
      <c r="F442">
        <v>7108</v>
      </c>
      <c r="G442" t="s">
        <v>1529</v>
      </c>
    </row>
    <row r="443" spans="1:7" x14ac:dyDescent="0.3">
      <c r="A443" t="s">
        <v>1117</v>
      </c>
      <c r="B443" t="s">
        <v>800</v>
      </c>
      <c r="C443" t="s">
        <v>800</v>
      </c>
      <c r="D443" t="s">
        <v>1117</v>
      </c>
      <c r="F443">
        <v>7109</v>
      </c>
      <c r="G443" t="s">
        <v>1530</v>
      </c>
    </row>
    <row r="444" spans="1:7" x14ac:dyDescent="0.3">
      <c r="A444" t="s">
        <v>1118</v>
      </c>
      <c r="B444" t="s">
        <v>801</v>
      </c>
      <c r="D444" t="s">
        <v>1118</v>
      </c>
      <c r="F444">
        <v>7111</v>
      </c>
      <c r="G444" t="s">
        <v>1531</v>
      </c>
    </row>
    <row r="445" spans="1:7" x14ac:dyDescent="0.3">
      <c r="F445">
        <v>7112</v>
      </c>
      <c r="G445" t="s">
        <v>1532</v>
      </c>
    </row>
    <row r="446" spans="1:7" x14ac:dyDescent="0.3">
      <c r="F446">
        <v>7113</v>
      </c>
      <c r="G446" t="s">
        <v>1533</v>
      </c>
    </row>
    <row r="447" spans="1:7" x14ac:dyDescent="0.3">
      <c r="F447">
        <v>7114</v>
      </c>
      <c r="G447" t="s">
        <v>1534</v>
      </c>
    </row>
    <row r="448" spans="1:7" x14ac:dyDescent="0.3">
      <c r="F448">
        <v>7121</v>
      </c>
      <c r="G448" t="s">
        <v>1535</v>
      </c>
    </row>
    <row r="449" spans="6:7" x14ac:dyDescent="0.3">
      <c r="F449">
        <v>7122</v>
      </c>
      <c r="G449" t="s">
        <v>1536</v>
      </c>
    </row>
    <row r="450" spans="6:7" x14ac:dyDescent="0.3">
      <c r="F450">
        <v>7123</v>
      </c>
      <c r="G450" t="s">
        <v>1537</v>
      </c>
    </row>
    <row r="451" spans="6:7" x14ac:dyDescent="0.3">
      <c r="F451">
        <v>7124</v>
      </c>
      <c r="G451" t="s">
        <v>1538</v>
      </c>
    </row>
    <row r="452" spans="6:7" x14ac:dyDescent="0.3">
      <c r="F452">
        <v>7131</v>
      </c>
      <c r="G452" t="s">
        <v>1539</v>
      </c>
    </row>
    <row r="453" spans="6:7" x14ac:dyDescent="0.3">
      <c r="F453">
        <v>7132</v>
      </c>
      <c r="G453" t="s">
        <v>1540</v>
      </c>
    </row>
    <row r="454" spans="6:7" x14ac:dyDescent="0.3">
      <c r="F454">
        <v>7133</v>
      </c>
      <c r="G454" t="s">
        <v>1541</v>
      </c>
    </row>
    <row r="455" spans="6:7" x14ac:dyDescent="0.3">
      <c r="F455">
        <v>7134</v>
      </c>
      <c r="G455" t="s">
        <v>1542</v>
      </c>
    </row>
    <row r="456" spans="6:7" x14ac:dyDescent="0.3">
      <c r="F456">
        <v>7141</v>
      </c>
      <c r="G456" t="s">
        <v>1543</v>
      </c>
    </row>
    <row r="457" spans="6:7" x14ac:dyDescent="0.3">
      <c r="F457">
        <v>7142</v>
      </c>
      <c r="G457" t="s">
        <v>1544</v>
      </c>
    </row>
    <row r="458" spans="6:7" x14ac:dyDescent="0.3">
      <c r="F458">
        <v>7143</v>
      </c>
      <c r="G458" t="s">
        <v>1545</v>
      </c>
    </row>
    <row r="459" spans="6:7" x14ac:dyDescent="0.3">
      <c r="F459">
        <v>7144</v>
      </c>
      <c r="G459" t="s">
        <v>1546</v>
      </c>
    </row>
    <row r="460" spans="6:7" x14ac:dyDescent="0.3">
      <c r="F460">
        <v>7151</v>
      </c>
      <c r="G460" t="s">
        <v>1547</v>
      </c>
    </row>
    <row r="461" spans="6:7" x14ac:dyDescent="0.3">
      <c r="F461">
        <v>7152</v>
      </c>
      <c r="G461" t="s">
        <v>1548</v>
      </c>
    </row>
    <row r="462" spans="6:7" x14ac:dyDescent="0.3">
      <c r="F462">
        <v>7153</v>
      </c>
      <c r="G462" t="s">
        <v>1549</v>
      </c>
    </row>
    <row r="463" spans="6:7" x14ac:dyDescent="0.3">
      <c r="F463">
        <v>7154</v>
      </c>
      <c r="G463" t="s">
        <v>1550</v>
      </c>
    </row>
    <row r="464" spans="6:7" x14ac:dyDescent="0.3">
      <c r="F464">
        <v>7161</v>
      </c>
      <c r="G464" t="s">
        <v>1551</v>
      </c>
    </row>
    <row r="465" spans="6:7" x14ac:dyDescent="0.3">
      <c r="F465">
        <v>7162</v>
      </c>
      <c r="G465" t="s">
        <v>1552</v>
      </c>
    </row>
    <row r="466" spans="6:7" x14ac:dyDescent="0.3">
      <c r="F466">
        <v>7163</v>
      </c>
      <c r="G466" t="s">
        <v>1553</v>
      </c>
    </row>
    <row r="467" spans="6:7" x14ac:dyDescent="0.3">
      <c r="F467">
        <v>7164</v>
      </c>
      <c r="G467" t="s">
        <v>1554</v>
      </c>
    </row>
    <row r="468" spans="6:7" x14ac:dyDescent="0.3">
      <c r="F468">
        <v>7181</v>
      </c>
      <c r="G468" t="s">
        <v>1555</v>
      </c>
    </row>
    <row r="469" spans="6:7" x14ac:dyDescent="0.3">
      <c r="F469">
        <v>7182</v>
      </c>
      <c r="G469" t="s">
        <v>1556</v>
      </c>
    </row>
    <row r="470" spans="6:7" x14ac:dyDescent="0.3">
      <c r="F470">
        <v>7183</v>
      </c>
      <c r="G470" t="s">
        <v>1557</v>
      </c>
    </row>
    <row r="471" spans="6:7" x14ac:dyDescent="0.3">
      <c r="F471">
        <v>7184</v>
      </c>
      <c r="G471" t="s">
        <v>1558</v>
      </c>
    </row>
    <row r="472" spans="6:7" x14ac:dyDescent="0.3">
      <c r="F472">
        <v>7185</v>
      </c>
      <c r="G472" t="s">
        <v>1559</v>
      </c>
    </row>
    <row r="473" spans="6:7" x14ac:dyDescent="0.3">
      <c r="F473">
        <v>7186</v>
      </c>
      <c r="G473" t="s">
        <v>1560</v>
      </c>
    </row>
    <row r="474" spans="6:7" x14ac:dyDescent="0.3">
      <c r="F474">
        <v>7187</v>
      </c>
      <c r="G474" t="s">
        <v>1561</v>
      </c>
    </row>
    <row r="475" spans="6:7" x14ac:dyDescent="0.3">
      <c r="F475">
        <v>7188</v>
      </c>
      <c r="G475" t="s">
        <v>1562</v>
      </c>
    </row>
    <row r="476" spans="6:7" x14ac:dyDescent="0.3">
      <c r="F476">
        <v>7191</v>
      </c>
      <c r="G476" t="s">
        <v>1563</v>
      </c>
    </row>
    <row r="477" spans="6:7" x14ac:dyDescent="0.3">
      <c r="F477">
        <v>7192</v>
      </c>
      <c r="G477" t="s">
        <v>1564</v>
      </c>
    </row>
    <row r="478" spans="6:7" x14ac:dyDescent="0.3">
      <c r="F478">
        <v>7193</v>
      </c>
      <c r="G478" t="s">
        <v>1565</v>
      </c>
    </row>
    <row r="479" spans="6:7" x14ac:dyDescent="0.3">
      <c r="F479">
        <v>7194</v>
      </c>
      <c r="G479" t="s">
        <v>1566</v>
      </c>
    </row>
    <row r="480" spans="6:7" x14ac:dyDescent="0.3">
      <c r="F480">
        <v>7195</v>
      </c>
      <c r="G480" t="s">
        <v>1567</v>
      </c>
    </row>
    <row r="481" spans="6:7" x14ac:dyDescent="0.3">
      <c r="F481">
        <v>7196</v>
      </c>
      <c r="G481" t="s">
        <v>1568</v>
      </c>
    </row>
    <row r="482" spans="6:7" x14ac:dyDescent="0.3">
      <c r="F482">
        <v>7197</v>
      </c>
      <c r="G482" t="s">
        <v>1569</v>
      </c>
    </row>
    <row r="483" spans="6:7" x14ac:dyDescent="0.3">
      <c r="F483">
        <v>7198</v>
      </c>
      <c r="G483" t="s">
        <v>1570</v>
      </c>
    </row>
    <row r="484" spans="6:7" x14ac:dyDescent="0.3">
      <c r="F484">
        <v>7210</v>
      </c>
      <c r="G484" t="s">
        <v>1571</v>
      </c>
    </row>
    <row r="485" spans="6:7" x14ac:dyDescent="0.3">
      <c r="F485">
        <v>7220</v>
      </c>
      <c r="G485" t="s">
        <v>1572</v>
      </c>
    </row>
    <row r="486" spans="6:7" x14ac:dyDescent="0.3">
      <c r="F486">
        <v>7230</v>
      </c>
      <c r="G486" t="s">
        <v>1573</v>
      </c>
    </row>
    <row r="487" spans="6:7" x14ac:dyDescent="0.3">
      <c r="F487">
        <v>7240</v>
      </c>
      <c r="G487" t="s">
        <v>1574</v>
      </c>
    </row>
    <row r="488" spans="6:7" x14ac:dyDescent="0.3">
      <c r="F488">
        <v>7251</v>
      </c>
      <c r="G488" t="s">
        <v>1575</v>
      </c>
    </row>
    <row r="489" spans="6:7" x14ac:dyDescent="0.3">
      <c r="F489">
        <v>7252</v>
      </c>
      <c r="G489" t="s">
        <v>1576</v>
      </c>
    </row>
    <row r="490" spans="6:7" x14ac:dyDescent="0.3">
      <c r="F490">
        <v>7253</v>
      </c>
      <c r="G490" t="s">
        <v>1577</v>
      </c>
    </row>
    <row r="491" spans="6:7" x14ac:dyDescent="0.3">
      <c r="F491">
        <v>7261</v>
      </c>
      <c r="G491" t="s">
        <v>1578</v>
      </c>
    </row>
    <row r="492" spans="6:7" x14ac:dyDescent="0.3">
      <c r="F492">
        <v>7262</v>
      </c>
      <c r="G492" t="s">
        <v>1579</v>
      </c>
    </row>
    <row r="493" spans="6:7" x14ac:dyDescent="0.3">
      <c r="F493">
        <v>7263</v>
      </c>
      <c r="G493" t="s">
        <v>1580</v>
      </c>
    </row>
    <row r="494" spans="6:7" x14ac:dyDescent="0.3">
      <c r="F494">
        <v>8001</v>
      </c>
      <c r="G494" t="s">
        <v>1581</v>
      </c>
    </row>
    <row r="495" spans="6:7" x14ac:dyDescent="0.3">
      <c r="F495">
        <v>9001</v>
      </c>
      <c r="G495" t="s">
        <v>1582</v>
      </c>
    </row>
    <row r="496" spans="6:7" x14ac:dyDescent="0.3">
      <c r="F496">
        <v>9002</v>
      </c>
      <c r="G496" t="s">
        <v>1583</v>
      </c>
    </row>
    <row r="497" spans="6:7" x14ac:dyDescent="0.3">
      <c r="F497">
        <v>9003</v>
      </c>
      <c r="G497" t="s">
        <v>1584</v>
      </c>
    </row>
    <row r="498" spans="6:7" x14ac:dyDescent="0.3">
      <c r="F498">
        <v>9011</v>
      </c>
      <c r="G498" t="s">
        <v>1585</v>
      </c>
    </row>
    <row r="499" spans="6:7" x14ac:dyDescent="0.3">
      <c r="F499">
        <v>9012</v>
      </c>
      <c r="G499" t="s">
        <v>1586</v>
      </c>
    </row>
    <row r="500" spans="6:7" x14ac:dyDescent="0.3">
      <c r="F500">
        <v>9013</v>
      </c>
      <c r="G500" t="s">
        <v>1587</v>
      </c>
    </row>
    <row r="501" spans="6:7" x14ac:dyDescent="0.3">
      <c r="F501">
        <v>9020</v>
      </c>
      <c r="G501" t="s">
        <v>1588</v>
      </c>
    </row>
    <row r="502" spans="6:7" x14ac:dyDescent="0.3">
      <c r="F502">
        <v>9022</v>
      </c>
      <c r="G502" t="s">
        <v>1589</v>
      </c>
    </row>
    <row r="503" spans="6:7" x14ac:dyDescent="0.3">
      <c r="F503">
        <v>9024</v>
      </c>
      <c r="G503" t="s">
        <v>1590</v>
      </c>
    </row>
    <row r="504" spans="6:7" x14ac:dyDescent="0.3">
      <c r="F504">
        <v>9026</v>
      </c>
      <c r="G504" t="s">
        <v>1591</v>
      </c>
    </row>
    <row r="505" spans="6:7" x14ac:dyDescent="0.3">
      <c r="F505">
        <v>9031</v>
      </c>
      <c r="G505" t="s">
        <v>1592</v>
      </c>
    </row>
    <row r="506" spans="6:7" x14ac:dyDescent="0.3">
      <c r="F506">
        <v>9032</v>
      </c>
      <c r="G506" t="s">
        <v>1593</v>
      </c>
    </row>
    <row r="507" spans="6:7" x14ac:dyDescent="0.3">
      <c r="F507">
        <v>9033</v>
      </c>
      <c r="G507" t="s">
        <v>1594</v>
      </c>
    </row>
    <row r="508" spans="6:7" x14ac:dyDescent="0.3">
      <c r="F508">
        <v>9034</v>
      </c>
      <c r="G508" t="s">
        <v>1595</v>
      </c>
    </row>
    <row r="509" spans="6:7" x14ac:dyDescent="0.3">
      <c r="F509">
        <v>9035</v>
      </c>
      <c r="G509" t="s">
        <v>1596</v>
      </c>
    </row>
    <row r="510" spans="6:7" x14ac:dyDescent="0.3">
      <c r="F510">
        <v>9036</v>
      </c>
      <c r="G510" t="s">
        <v>1597</v>
      </c>
    </row>
    <row r="511" spans="6:7" x14ac:dyDescent="0.3">
      <c r="F511">
        <v>9041</v>
      </c>
      <c r="G511" t="s">
        <v>1598</v>
      </c>
    </row>
    <row r="512" spans="6:7" x14ac:dyDescent="0.3">
      <c r="F512">
        <v>9043</v>
      </c>
      <c r="G512" t="s">
        <v>1599</v>
      </c>
    </row>
    <row r="513" spans="6:7" x14ac:dyDescent="0.3">
      <c r="F513">
        <v>9044</v>
      </c>
      <c r="G513" t="s">
        <v>1600</v>
      </c>
    </row>
    <row r="514" spans="6:7" x14ac:dyDescent="0.3">
      <c r="F514">
        <v>9046</v>
      </c>
      <c r="G514" t="s">
        <v>1601</v>
      </c>
    </row>
    <row r="515" spans="6:7" x14ac:dyDescent="0.3">
      <c r="F515">
        <v>9047</v>
      </c>
      <c r="G515" t="s">
        <v>1602</v>
      </c>
    </row>
    <row r="516" spans="6:7" x14ac:dyDescent="0.3">
      <c r="F516">
        <v>9048</v>
      </c>
      <c r="G516" t="s">
        <v>1603</v>
      </c>
    </row>
    <row r="517" spans="6:7" x14ac:dyDescent="0.3">
      <c r="F517">
        <v>9049</v>
      </c>
      <c r="G517" t="s">
        <v>1604</v>
      </c>
    </row>
    <row r="518" spans="6:7" x14ac:dyDescent="0.3">
      <c r="F518">
        <v>9051</v>
      </c>
      <c r="G518" t="s">
        <v>1605</v>
      </c>
    </row>
    <row r="519" spans="6:7" x14ac:dyDescent="0.3">
      <c r="F519">
        <v>9052</v>
      </c>
      <c r="G519" t="s">
        <v>1606</v>
      </c>
    </row>
    <row r="520" spans="6:7" x14ac:dyDescent="0.3">
      <c r="F520">
        <v>9053</v>
      </c>
      <c r="G520" t="s">
        <v>1607</v>
      </c>
    </row>
    <row r="521" spans="6:7" x14ac:dyDescent="0.3">
      <c r="F521">
        <v>9054</v>
      </c>
      <c r="G521" t="s">
        <v>1608</v>
      </c>
    </row>
    <row r="522" spans="6:7" x14ac:dyDescent="0.3">
      <c r="F522">
        <v>9055</v>
      </c>
      <c r="G522" t="s">
        <v>1609</v>
      </c>
    </row>
    <row r="523" spans="6:7" x14ac:dyDescent="0.3">
      <c r="F523">
        <v>9056</v>
      </c>
      <c r="G523" t="s">
        <v>1610</v>
      </c>
    </row>
    <row r="524" spans="6:7" x14ac:dyDescent="0.3">
      <c r="F524">
        <v>9057</v>
      </c>
      <c r="G524" t="s">
        <v>1611</v>
      </c>
    </row>
    <row r="525" spans="6:7" x14ac:dyDescent="0.3">
      <c r="F525">
        <v>9058</v>
      </c>
      <c r="G525" t="s">
        <v>1612</v>
      </c>
    </row>
    <row r="526" spans="6:7" x14ac:dyDescent="0.3">
      <c r="F526">
        <v>9061</v>
      </c>
      <c r="G526" t="s">
        <v>1613</v>
      </c>
    </row>
    <row r="527" spans="6:7" x14ac:dyDescent="0.3">
      <c r="F527">
        <v>9062</v>
      </c>
      <c r="G527" t="s">
        <v>1614</v>
      </c>
    </row>
    <row r="528" spans="6:7" x14ac:dyDescent="0.3">
      <c r="F528">
        <v>9063</v>
      </c>
      <c r="G528" t="s">
        <v>1615</v>
      </c>
    </row>
    <row r="529" spans="6:7" x14ac:dyDescent="0.3">
      <c r="F529">
        <v>9064</v>
      </c>
      <c r="G529" t="s">
        <v>1616</v>
      </c>
    </row>
    <row r="530" spans="6:7" x14ac:dyDescent="0.3">
      <c r="F530">
        <v>9065</v>
      </c>
      <c r="G530" t="s">
        <v>1617</v>
      </c>
    </row>
    <row r="531" spans="6:7" x14ac:dyDescent="0.3">
      <c r="F531">
        <v>9066</v>
      </c>
      <c r="G531" t="s">
        <v>1618</v>
      </c>
    </row>
    <row r="532" spans="6:7" x14ac:dyDescent="0.3">
      <c r="F532">
        <v>9067</v>
      </c>
      <c r="G532" t="s">
        <v>1619</v>
      </c>
    </row>
    <row r="533" spans="6:7" x14ac:dyDescent="0.3">
      <c r="F533">
        <v>9068</v>
      </c>
      <c r="G533" t="s">
        <v>1620</v>
      </c>
    </row>
    <row r="534" spans="6:7" x14ac:dyDescent="0.3">
      <c r="F534">
        <v>9069</v>
      </c>
      <c r="G534" t="s">
        <v>1621</v>
      </c>
    </row>
    <row r="535" spans="6:7" x14ac:dyDescent="0.3">
      <c r="F535">
        <v>9071</v>
      </c>
      <c r="G535" t="s">
        <v>1622</v>
      </c>
    </row>
    <row r="536" spans="6:7" x14ac:dyDescent="0.3">
      <c r="F536">
        <v>9072</v>
      </c>
      <c r="G536" t="s">
        <v>1623</v>
      </c>
    </row>
    <row r="537" spans="6:7" x14ac:dyDescent="0.3">
      <c r="F537">
        <v>9073</v>
      </c>
      <c r="G537" t="s">
        <v>1624</v>
      </c>
    </row>
    <row r="538" spans="6:7" x14ac:dyDescent="0.3">
      <c r="F538">
        <v>9080</v>
      </c>
      <c r="G538" t="s">
        <v>1625</v>
      </c>
    </row>
    <row r="539" spans="6:7" x14ac:dyDescent="0.3">
      <c r="F539">
        <v>9081</v>
      </c>
      <c r="G539" t="s">
        <v>1626</v>
      </c>
    </row>
    <row r="540" spans="6:7" x14ac:dyDescent="0.3">
      <c r="F540">
        <v>9082</v>
      </c>
      <c r="G540" t="s">
        <v>1627</v>
      </c>
    </row>
    <row r="541" spans="6:7" x14ac:dyDescent="0.3">
      <c r="F541">
        <v>9083</v>
      </c>
      <c r="G541" t="s">
        <v>1628</v>
      </c>
    </row>
    <row r="542" spans="6:7" x14ac:dyDescent="0.3">
      <c r="F542">
        <v>9091</v>
      </c>
      <c r="G542" t="s">
        <v>1629</v>
      </c>
    </row>
    <row r="543" spans="6:7" x14ac:dyDescent="0.3">
      <c r="F543">
        <v>9092</v>
      </c>
      <c r="G543" t="s">
        <v>1630</v>
      </c>
    </row>
    <row r="544" spans="6:7" x14ac:dyDescent="0.3">
      <c r="F544">
        <v>9093</v>
      </c>
      <c r="G544" t="s">
        <v>1631</v>
      </c>
    </row>
    <row r="545" spans="6:7" x14ac:dyDescent="0.3">
      <c r="F545">
        <v>9094</v>
      </c>
      <c r="G545" t="s">
        <v>1632</v>
      </c>
    </row>
    <row r="546" spans="6:7" x14ac:dyDescent="0.3">
      <c r="F546">
        <v>9095</v>
      </c>
      <c r="G546" t="s">
        <v>1633</v>
      </c>
    </row>
    <row r="547" spans="6:7" x14ac:dyDescent="0.3">
      <c r="F547">
        <v>9096</v>
      </c>
      <c r="G547" t="s">
        <v>1634</v>
      </c>
    </row>
    <row r="548" spans="6:7" x14ac:dyDescent="0.3">
      <c r="F548">
        <v>9097</v>
      </c>
      <c r="G548" t="s">
        <v>1635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1636E-63A0-4D86-BBE8-B76CDDE2DCAB}">
  <dimension ref="A1:I277"/>
  <sheetViews>
    <sheetView workbookViewId="0">
      <selection activeCell="A222" sqref="A222"/>
    </sheetView>
  </sheetViews>
  <sheetFormatPr baseColWidth="10" defaultRowHeight="14.4" x14ac:dyDescent="0.3"/>
  <cols>
    <col min="1" max="1" width="18.44140625" bestFit="1" customWidth="1"/>
    <col min="2" max="2" width="14.33203125" customWidth="1"/>
    <col min="3" max="3" width="99.5546875" bestFit="1" customWidth="1"/>
    <col min="4" max="4" width="32.6640625" bestFit="1" customWidth="1"/>
    <col min="5" max="5" width="36.6640625" bestFit="1" customWidth="1"/>
    <col min="9" max="9" width="39.88671875" bestFit="1" customWidth="1"/>
  </cols>
  <sheetData>
    <row r="1" spans="1:9" x14ac:dyDescent="0.3">
      <c r="A1" s="31" t="s">
        <v>2054</v>
      </c>
      <c r="B1" s="31"/>
      <c r="C1" s="31"/>
    </row>
    <row r="2" spans="1:9" x14ac:dyDescent="0.3">
      <c r="A2" s="2"/>
      <c r="B2" s="2"/>
      <c r="C2" s="2"/>
    </row>
    <row r="3" spans="1:9" x14ac:dyDescent="0.3">
      <c r="A3" s="2" t="s">
        <v>2109</v>
      </c>
      <c r="B3" s="2"/>
      <c r="C3" s="2"/>
    </row>
    <row r="4" spans="1:9" x14ac:dyDescent="0.3">
      <c r="A4" s="4" t="str">
        <f>"- Bei einigen Kennzahlen wurden beim erstellen leider die Einheiten vergessen. Diese wurden nun ergänzt."</f>
        <v>- Bei einigen Kennzahlen wurden beim erstellen leider die Einheiten vergessen. Diese wurden nun ergänzt.</v>
      </c>
      <c r="B4" s="2"/>
      <c r="C4" s="2"/>
    </row>
    <row r="5" spans="1:9" x14ac:dyDescent="0.3">
      <c r="A5" s="4" t="str">
        <f>"- Eine Verlinkung auf das Blatt "&amp;"Erläuterungen"&amp;" wurde in jedem Blatt hinterelegt."</f>
        <v>- Eine Verlinkung auf das Blatt Erläuterungen wurde in jedem Blatt hinterelegt.</v>
      </c>
      <c r="B5" s="2"/>
      <c r="C5" s="2"/>
    </row>
    <row r="6" spans="1:9" x14ac:dyDescent="0.3">
      <c r="A6" s="2"/>
      <c r="B6" s="2"/>
      <c r="C6" s="2"/>
    </row>
    <row r="7" spans="1:9" x14ac:dyDescent="0.3">
      <c r="B7" s="1" t="s">
        <v>3</v>
      </c>
      <c r="C7" s="1" t="s">
        <v>4</v>
      </c>
      <c r="D7" s="1" t="s">
        <v>14</v>
      </c>
      <c r="E7" s="1" t="s">
        <v>5</v>
      </c>
      <c r="F7" s="1" t="s">
        <v>6</v>
      </c>
      <c r="G7" s="1"/>
      <c r="H7" s="1" t="s">
        <v>15</v>
      </c>
      <c r="I7" s="1" t="s">
        <v>7</v>
      </c>
    </row>
    <row r="9" spans="1:9" x14ac:dyDescent="0.3">
      <c r="A9" t="s">
        <v>2055</v>
      </c>
    </row>
    <row r="10" spans="1:9" x14ac:dyDescent="0.3">
      <c r="A10" t="s">
        <v>1988</v>
      </c>
      <c r="B10">
        <v>3555</v>
      </c>
      <c r="C10" t="s">
        <v>2053</v>
      </c>
      <c r="H10">
        <v>4006</v>
      </c>
    </row>
    <row r="12" spans="1:9" x14ac:dyDescent="0.3">
      <c r="A12" t="s">
        <v>2056</v>
      </c>
    </row>
    <row r="14" spans="1:9" x14ac:dyDescent="0.3">
      <c r="A14" t="s">
        <v>2058</v>
      </c>
    </row>
    <row r="15" spans="1:9" x14ac:dyDescent="0.3">
      <c r="A15" t="s">
        <v>1988</v>
      </c>
      <c r="B15">
        <v>2571</v>
      </c>
      <c r="C15" t="s">
        <v>2057</v>
      </c>
      <c r="D15" t="s">
        <v>2057</v>
      </c>
      <c r="I15" t="s">
        <v>2059</v>
      </c>
    </row>
    <row r="17" spans="1:9" x14ac:dyDescent="0.3">
      <c r="A17" t="s">
        <v>2063</v>
      </c>
    </row>
    <row r="18" spans="1:9" x14ac:dyDescent="0.3">
      <c r="A18" t="s">
        <v>1988</v>
      </c>
      <c r="B18">
        <v>2511</v>
      </c>
      <c r="C18" t="s">
        <v>2061</v>
      </c>
      <c r="D18" t="s">
        <v>2062</v>
      </c>
      <c r="I18" t="s">
        <v>2064</v>
      </c>
    </row>
    <row r="20" spans="1:9" x14ac:dyDescent="0.3">
      <c r="A20" t="s">
        <v>2066</v>
      </c>
    </row>
    <row r="21" spans="1:9" x14ac:dyDescent="0.3">
      <c r="A21" t="s">
        <v>1987</v>
      </c>
      <c r="B21">
        <v>3310</v>
      </c>
      <c r="C21" t="s">
        <v>142</v>
      </c>
      <c r="D21" t="s">
        <v>143</v>
      </c>
      <c r="E21" t="s">
        <v>144</v>
      </c>
      <c r="I21" t="s">
        <v>2067</v>
      </c>
    </row>
    <row r="22" spans="1:9" x14ac:dyDescent="0.3">
      <c r="A22" t="s">
        <v>1988</v>
      </c>
      <c r="B22">
        <v>3310</v>
      </c>
      <c r="C22" t="s">
        <v>143</v>
      </c>
      <c r="D22" t="s">
        <v>143</v>
      </c>
      <c r="E22" t="s">
        <v>144</v>
      </c>
      <c r="I22" t="s">
        <v>2067</v>
      </c>
    </row>
    <row r="24" spans="1:9" x14ac:dyDescent="0.3">
      <c r="A24" t="s">
        <v>2069</v>
      </c>
    </row>
    <row r="25" spans="1:9" x14ac:dyDescent="0.3">
      <c r="A25" t="s">
        <v>1988</v>
      </c>
      <c r="B25">
        <v>4521</v>
      </c>
      <c r="C25" t="s">
        <v>2070</v>
      </c>
      <c r="I25" t="s">
        <v>2068</v>
      </c>
    </row>
    <row r="27" spans="1:9" x14ac:dyDescent="0.3">
      <c r="A27" t="s">
        <v>2071</v>
      </c>
    </row>
    <row r="28" spans="1:9" x14ac:dyDescent="0.3">
      <c r="A28" t="s">
        <v>1987</v>
      </c>
      <c r="B28">
        <v>4521</v>
      </c>
      <c r="C28" t="s">
        <v>471</v>
      </c>
      <c r="D28" t="s">
        <v>472</v>
      </c>
      <c r="I28" s="4" t="s">
        <v>473</v>
      </c>
    </row>
    <row r="29" spans="1:9" x14ac:dyDescent="0.3">
      <c r="A29" t="s">
        <v>1988</v>
      </c>
      <c r="B29">
        <v>4522</v>
      </c>
      <c r="C29" t="s">
        <v>471</v>
      </c>
      <c r="D29" t="s">
        <v>472</v>
      </c>
      <c r="I29" s="4" t="s">
        <v>473</v>
      </c>
    </row>
    <row r="30" spans="1:9" x14ac:dyDescent="0.3">
      <c r="I30" s="4"/>
    </row>
    <row r="31" spans="1:9" x14ac:dyDescent="0.3">
      <c r="A31" t="s">
        <v>1987</v>
      </c>
      <c r="B31">
        <v>4522</v>
      </c>
      <c r="C31" t="s">
        <v>474</v>
      </c>
      <c r="I31" s="4" t="s">
        <v>475</v>
      </c>
    </row>
    <row r="32" spans="1:9" x14ac:dyDescent="0.3">
      <c r="A32" t="s">
        <v>1988</v>
      </c>
      <c r="B32">
        <v>4523</v>
      </c>
      <c r="C32" t="s">
        <v>474</v>
      </c>
      <c r="I32" s="4" t="s">
        <v>475</v>
      </c>
    </row>
    <row r="33" spans="1:9" x14ac:dyDescent="0.3">
      <c r="I33" s="4"/>
    </row>
    <row r="34" spans="1:9" x14ac:dyDescent="0.3">
      <c r="A34" t="s">
        <v>1987</v>
      </c>
      <c r="B34">
        <v>4523</v>
      </c>
      <c r="C34" t="s">
        <v>476</v>
      </c>
      <c r="D34" t="s">
        <v>477</v>
      </c>
      <c r="H34">
        <v>481</v>
      </c>
      <c r="I34" s="4"/>
    </row>
    <row r="35" spans="1:9" x14ac:dyDescent="0.3">
      <c r="A35" t="s">
        <v>1988</v>
      </c>
      <c r="B35">
        <v>4524</v>
      </c>
      <c r="C35" t="s">
        <v>476</v>
      </c>
      <c r="D35" t="s">
        <v>477</v>
      </c>
      <c r="H35">
        <v>481</v>
      </c>
      <c r="I35" s="4"/>
    </row>
    <row r="36" spans="1:9" x14ac:dyDescent="0.3">
      <c r="I36" s="4"/>
    </row>
    <row r="37" spans="1:9" x14ac:dyDescent="0.3">
      <c r="A37" t="s">
        <v>1987</v>
      </c>
      <c r="B37">
        <v>4524</v>
      </c>
      <c r="C37" t="s">
        <v>468</v>
      </c>
      <c r="H37">
        <v>435</v>
      </c>
      <c r="I37" s="4"/>
    </row>
    <row r="38" spans="1:9" x14ac:dyDescent="0.3">
      <c r="A38" t="s">
        <v>1988</v>
      </c>
      <c r="B38">
        <v>4525</v>
      </c>
      <c r="C38" t="s">
        <v>468</v>
      </c>
      <c r="H38">
        <v>435</v>
      </c>
      <c r="I38" s="4"/>
    </row>
    <row r="39" spans="1:9" x14ac:dyDescent="0.3">
      <c r="I39" s="4"/>
    </row>
    <row r="40" spans="1:9" x14ac:dyDescent="0.3">
      <c r="A40" t="s">
        <v>2111</v>
      </c>
      <c r="I40" s="4"/>
    </row>
    <row r="41" spans="1:9" x14ac:dyDescent="0.3">
      <c r="A41" t="s">
        <v>1988</v>
      </c>
      <c r="B41">
        <v>4364</v>
      </c>
      <c r="C41" t="s">
        <v>2073</v>
      </c>
      <c r="I41" s="4" t="s">
        <v>2074</v>
      </c>
    </row>
    <row r="42" spans="1:9" x14ac:dyDescent="0.3">
      <c r="I42" s="4"/>
    </row>
    <row r="43" spans="1:9" x14ac:dyDescent="0.3">
      <c r="A43" t="s">
        <v>2110</v>
      </c>
    </row>
    <row r="44" spans="1:9" x14ac:dyDescent="0.3">
      <c r="A44" t="s">
        <v>1987</v>
      </c>
      <c r="B44">
        <v>1100</v>
      </c>
      <c r="C44" t="s">
        <v>190</v>
      </c>
      <c r="D44" t="s">
        <v>191</v>
      </c>
      <c r="I44" t="s">
        <v>2112</v>
      </c>
    </row>
    <row r="45" spans="1:9" x14ac:dyDescent="0.3">
      <c r="A45" t="s">
        <v>1988</v>
      </c>
      <c r="B45">
        <v>1100</v>
      </c>
      <c r="C45" t="s">
        <v>2077</v>
      </c>
      <c r="D45" t="s">
        <v>191</v>
      </c>
      <c r="I45" t="s">
        <v>2112</v>
      </c>
    </row>
    <row r="47" spans="1:9" x14ac:dyDescent="0.3">
      <c r="A47" t="s">
        <v>2113</v>
      </c>
    </row>
    <row r="48" spans="1:9" x14ac:dyDescent="0.3">
      <c r="A48" t="s">
        <v>1987</v>
      </c>
      <c r="B48">
        <v>1110</v>
      </c>
      <c r="C48" t="s">
        <v>197</v>
      </c>
      <c r="D48" t="s">
        <v>197</v>
      </c>
      <c r="I48" t="s">
        <v>198</v>
      </c>
    </row>
    <row r="49" spans="1:9" x14ac:dyDescent="0.3">
      <c r="A49" t="s">
        <v>1988</v>
      </c>
      <c r="B49">
        <v>1110</v>
      </c>
      <c r="C49" t="s">
        <v>2079</v>
      </c>
      <c r="D49" t="s">
        <v>197</v>
      </c>
      <c r="E49" t="s">
        <v>197</v>
      </c>
      <c r="I49" t="s">
        <v>198</v>
      </c>
    </row>
    <row r="51" spans="1:9" x14ac:dyDescent="0.3">
      <c r="A51" t="s">
        <v>2114</v>
      </c>
    </row>
    <row r="52" spans="1:9" x14ac:dyDescent="0.3">
      <c r="A52" t="s">
        <v>1987</v>
      </c>
      <c r="B52">
        <v>1200</v>
      </c>
      <c r="C52" t="s">
        <v>2080</v>
      </c>
      <c r="D52" t="s">
        <v>192</v>
      </c>
      <c r="H52">
        <v>604</v>
      </c>
    </row>
    <row r="53" spans="1:9" x14ac:dyDescent="0.3">
      <c r="A53" t="s">
        <v>1988</v>
      </c>
      <c r="B53">
        <v>1200</v>
      </c>
      <c r="C53" t="s">
        <v>2081</v>
      </c>
      <c r="D53" t="s">
        <v>192</v>
      </c>
      <c r="E53" t="s">
        <v>2080</v>
      </c>
      <c r="H53">
        <v>604</v>
      </c>
    </row>
    <row r="55" spans="1:9" x14ac:dyDescent="0.3">
      <c r="A55" t="s">
        <v>2115</v>
      </c>
    </row>
    <row r="56" spans="1:9" x14ac:dyDescent="0.3">
      <c r="A56" t="s">
        <v>1987</v>
      </c>
      <c r="B56">
        <v>1210</v>
      </c>
      <c r="C56" t="s">
        <v>2116</v>
      </c>
      <c r="D56" t="s">
        <v>194</v>
      </c>
      <c r="E56" t="s">
        <v>195</v>
      </c>
      <c r="I56" t="s">
        <v>196</v>
      </c>
    </row>
    <row r="57" spans="1:9" x14ac:dyDescent="0.3">
      <c r="A57" t="s">
        <v>1988</v>
      </c>
      <c r="B57">
        <v>1210</v>
      </c>
      <c r="C57" t="s">
        <v>2078</v>
      </c>
      <c r="D57" t="s">
        <v>194</v>
      </c>
      <c r="E57" t="s">
        <v>195</v>
      </c>
      <c r="I57" t="s">
        <v>196</v>
      </c>
    </row>
    <row r="59" spans="1:9" x14ac:dyDescent="0.3">
      <c r="A59" t="s">
        <v>2117</v>
      </c>
    </row>
    <row r="60" spans="1:9" x14ac:dyDescent="0.3">
      <c r="A60" t="s">
        <v>1987</v>
      </c>
      <c r="B60">
        <v>1211</v>
      </c>
      <c r="C60" t="s">
        <v>2082</v>
      </c>
      <c r="H60">
        <v>624</v>
      </c>
    </row>
    <row r="61" spans="1:9" x14ac:dyDescent="0.3">
      <c r="A61" t="s">
        <v>1988</v>
      </c>
      <c r="B61">
        <v>1211</v>
      </c>
      <c r="C61" t="s">
        <v>2085</v>
      </c>
      <c r="E61" t="s">
        <v>2082</v>
      </c>
      <c r="H61">
        <v>624</v>
      </c>
    </row>
    <row r="63" spans="1:9" x14ac:dyDescent="0.3">
      <c r="A63" t="s">
        <v>2118</v>
      </c>
    </row>
    <row r="64" spans="1:9" x14ac:dyDescent="0.3">
      <c r="A64" t="s">
        <v>1987</v>
      </c>
      <c r="B64">
        <v>1212</v>
      </c>
      <c r="C64" t="s">
        <v>2083</v>
      </c>
      <c r="H64">
        <v>314</v>
      </c>
    </row>
    <row r="65" spans="1:9" x14ac:dyDescent="0.3">
      <c r="A65" t="s">
        <v>1988</v>
      </c>
      <c r="B65">
        <v>1212</v>
      </c>
      <c r="C65" t="s">
        <v>2086</v>
      </c>
      <c r="E65" t="s">
        <v>2083</v>
      </c>
      <c r="H65">
        <v>314</v>
      </c>
    </row>
    <row r="67" spans="1:9" x14ac:dyDescent="0.3">
      <c r="A67" t="s">
        <v>2119</v>
      </c>
    </row>
    <row r="68" spans="1:9" x14ac:dyDescent="0.3">
      <c r="A68" t="s">
        <v>1987</v>
      </c>
      <c r="B68">
        <v>1213</v>
      </c>
      <c r="C68" t="s">
        <v>2084</v>
      </c>
      <c r="E68" t="s">
        <v>2084</v>
      </c>
      <c r="H68">
        <v>634</v>
      </c>
    </row>
    <row r="69" spans="1:9" x14ac:dyDescent="0.3">
      <c r="A69" t="s">
        <v>1988</v>
      </c>
      <c r="B69">
        <v>1213</v>
      </c>
      <c r="C69" t="s">
        <v>2087</v>
      </c>
      <c r="E69" t="s">
        <v>2084</v>
      </c>
      <c r="H69">
        <v>634</v>
      </c>
    </row>
    <row r="71" spans="1:9" x14ac:dyDescent="0.3">
      <c r="A71" t="s">
        <v>2120</v>
      </c>
    </row>
    <row r="72" spans="1:9" x14ac:dyDescent="0.3">
      <c r="A72" t="s">
        <v>1987</v>
      </c>
      <c r="B72">
        <v>1300</v>
      </c>
      <c r="C72" t="s">
        <v>207</v>
      </c>
      <c r="D72" t="s">
        <v>207</v>
      </c>
      <c r="E72" t="s">
        <v>208</v>
      </c>
      <c r="I72" t="s">
        <v>2125</v>
      </c>
    </row>
    <row r="73" spans="1:9" x14ac:dyDescent="0.3">
      <c r="A73" t="s">
        <v>1988</v>
      </c>
      <c r="B73">
        <v>1300</v>
      </c>
      <c r="C73" t="s">
        <v>2088</v>
      </c>
      <c r="D73" t="s">
        <v>207</v>
      </c>
      <c r="E73" t="s">
        <v>208</v>
      </c>
      <c r="I73" t="s">
        <v>2125</v>
      </c>
    </row>
    <row r="75" spans="1:9" x14ac:dyDescent="0.3">
      <c r="A75" t="s">
        <v>2121</v>
      </c>
    </row>
    <row r="76" spans="1:9" x14ac:dyDescent="0.3">
      <c r="A76" t="s">
        <v>1987</v>
      </c>
      <c r="B76">
        <v>1310</v>
      </c>
      <c r="C76" t="s">
        <v>209</v>
      </c>
      <c r="D76" t="s">
        <v>209</v>
      </c>
      <c r="I76" t="s">
        <v>210</v>
      </c>
    </row>
    <row r="77" spans="1:9" x14ac:dyDescent="0.3">
      <c r="A77" t="s">
        <v>1988</v>
      </c>
      <c r="B77">
        <v>1310</v>
      </c>
      <c r="C77" t="s">
        <v>2092</v>
      </c>
      <c r="D77" t="s">
        <v>209</v>
      </c>
      <c r="E77" t="s">
        <v>209</v>
      </c>
      <c r="I77" t="s">
        <v>210</v>
      </c>
    </row>
    <row r="79" spans="1:9" x14ac:dyDescent="0.3">
      <c r="A79" t="s">
        <v>2122</v>
      </c>
    </row>
    <row r="80" spans="1:9" x14ac:dyDescent="0.3">
      <c r="A80" t="s">
        <v>1987</v>
      </c>
      <c r="B80">
        <v>1320</v>
      </c>
      <c r="C80" t="s">
        <v>211</v>
      </c>
      <c r="D80" t="s">
        <v>211</v>
      </c>
      <c r="I80" t="s">
        <v>2126</v>
      </c>
    </row>
    <row r="81" spans="1:9" x14ac:dyDescent="0.3">
      <c r="A81" t="s">
        <v>1988</v>
      </c>
      <c r="B81">
        <v>1320</v>
      </c>
      <c r="C81" t="s">
        <v>2089</v>
      </c>
      <c r="D81" t="s">
        <v>211</v>
      </c>
      <c r="E81" t="s">
        <v>211</v>
      </c>
      <c r="I81" t="s">
        <v>2126</v>
      </c>
    </row>
    <row r="83" spans="1:9" x14ac:dyDescent="0.3">
      <c r="A83" t="s">
        <v>2123</v>
      </c>
    </row>
    <row r="84" spans="1:9" x14ac:dyDescent="0.3">
      <c r="A84" t="s">
        <v>1987</v>
      </c>
      <c r="B84">
        <v>1330</v>
      </c>
      <c r="C84" t="s">
        <v>212</v>
      </c>
      <c r="D84" t="s">
        <v>212</v>
      </c>
      <c r="I84" t="s">
        <v>2127</v>
      </c>
    </row>
    <row r="85" spans="1:9" x14ac:dyDescent="0.3">
      <c r="A85" t="s">
        <v>1988</v>
      </c>
      <c r="B85">
        <v>1330</v>
      </c>
      <c r="C85" t="s">
        <v>2090</v>
      </c>
      <c r="D85" t="s">
        <v>212</v>
      </c>
      <c r="E85" t="s">
        <v>212</v>
      </c>
      <c r="I85" t="s">
        <v>2127</v>
      </c>
    </row>
    <row r="87" spans="1:9" x14ac:dyDescent="0.3">
      <c r="A87" t="s">
        <v>2124</v>
      </c>
    </row>
    <row r="88" spans="1:9" x14ac:dyDescent="0.3">
      <c r="A88" t="s">
        <v>1987</v>
      </c>
      <c r="B88">
        <v>1331</v>
      </c>
      <c r="C88" t="s">
        <v>213</v>
      </c>
      <c r="D88" t="s">
        <v>213</v>
      </c>
      <c r="I88" t="s">
        <v>214</v>
      </c>
    </row>
    <row r="89" spans="1:9" x14ac:dyDescent="0.3">
      <c r="A89" t="s">
        <v>1988</v>
      </c>
      <c r="B89">
        <v>1331</v>
      </c>
      <c r="C89" t="s">
        <v>2091</v>
      </c>
      <c r="D89" t="s">
        <v>213</v>
      </c>
      <c r="E89" t="s">
        <v>213</v>
      </c>
      <c r="I89" t="s">
        <v>214</v>
      </c>
    </row>
    <row r="91" spans="1:9" x14ac:dyDescent="0.3">
      <c r="A91" t="s">
        <v>2128</v>
      </c>
    </row>
    <row r="92" spans="1:9" x14ac:dyDescent="0.3">
      <c r="A92" t="s">
        <v>1987</v>
      </c>
      <c r="B92">
        <v>2300</v>
      </c>
      <c r="C92" t="s">
        <v>308</v>
      </c>
      <c r="D92" t="s">
        <v>1983</v>
      </c>
      <c r="E92" t="s">
        <v>294</v>
      </c>
      <c r="I92" t="s">
        <v>2050</v>
      </c>
    </row>
    <row r="93" spans="1:9" x14ac:dyDescent="0.3">
      <c r="A93" t="s">
        <v>1988</v>
      </c>
      <c r="B93">
        <v>2300</v>
      </c>
      <c r="C93" t="s">
        <v>308</v>
      </c>
      <c r="D93" t="s">
        <v>1983</v>
      </c>
      <c r="E93" t="s">
        <v>2093</v>
      </c>
      <c r="I93" t="s">
        <v>2050</v>
      </c>
    </row>
    <row r="95" spans="1:9" x14ac:dyDescent="0.3">
      <c r="A95" t="s">
        <v>2129</v>
      </c>
    </row>
    <row r="96" spans="1:9" x14ac:dyDescent="0.3">
      <c r="A96" t="s">
        <v>1987</v>
      </c>
      <c r="B96">
        <v>2301</v>
      </c>
      <c r="C96" t="s">
        <v>310</v>
      </c>
      <c r="D96" t="s">
        <v>1985</v>
      </c>
      <c r="E96" t="s">
        <v>297</v>
      </c>
      <c r="I96" t="s">
        <v>2052</v>
      </c>
    </row>
    <row r="97" spans="1:9" x14ac:dyDescent="0.3">
      <c r="A97" t="s">
        <v>1988</v>
      </c>
      <c r="B97">
        <v>2301</v>
      </c>
      <c r="C97" t="s">
        <v>310</v>
      </c>
      <c r="D97" t="s">
        <v>1985</v>
      </c>
      <c r="E97" t="s">
        <v>2105</v>
      </c>
      <c r="I97" t="s">
        <v>2052</v>
      </c>
    </row>
    <row r="99" spans="1:9" x14ac:dyDescent="0.3">
      <c r="A99" t="s">
        <v>2131</v>
      </c>
    </row>
    <row r="100" spans="1:9" x14ac:dyDescent="0.3">
      <c r="A100" t="s">
        <v>1987</v>
      </c>
      <c r="B100">
        <v>2500</v>
      </c>
      <c r="C100" t="s">
        <v>262</v>
      </c>
      <c r="D100" t="s">
        <v>262</v>
      </c>
      <c r="I100" t="s">
        <v>2133</v>
      </c>
    </row>
    <row r="101" spans="1:9" x14ac:dyDescent="0.3">
      <c r="A101" t="s">
        <v>1988</v>
      </c>
      <c r="B101">
        <v>2500</v>
      </c>
      <c r="C101" t="s">
        <v>2107</v>
      </c>
      <c r="D101" t="s">
        <v>262</v>
      </c>
      <c r="E101" t="s">
        <v>262</v>
      </c>
      <c r="I101" t="s">
        <v>2133</v>
      </c>
    </row>
    <row r="103" spans="1:9" x14ac:dyDescent="0.3">
      <c r="A103" t="s">
        <v>2132</v>
      </c>
    </row>
    <row r="104" spans="1:9" x14ac:dyDescent="0.3">
      <c r="A104" t="s">
        <v>1987</v>
      </c>
      <c r="B104">
        <v>2501</v>
      </c>
      <c r="C104" t="s">
        <v>1643</v>
      </c>
      <c r="D104" t="s">
        <v>2106</v>
      </c>
      <c r="I104" t="s">
        <v>2134</v>
      </c>
    </row>
    <row r="105" spans="1:9" x14ac:dyDescent="0.3">
      <c r="A105" t="s">
        <v>1988</v>
      </c>
      <c r="B105">
        <v>2501</v>
      </c>
      <c r="C105" t="s">
        <v>2108</v>
      </c>
      <c r="D105" t="s">
        <v>2106</v>
      </c>
      <c r="E105" t="s">
        <v>1643</v>
      </c>
      <c r="I105" t="s">
        <v>2134</v>
      </c>
    </row>
    <row r="107" spans="1:9" x14ac:dyDescent="0.3">
      <c r="A107" t="s">
        <v>2135</v>
      </c>
    </row>
    <row r="108" spans="1:9" x14ac:dyDescent="0.3">
      <c r="A108" t="s">
        <v>1987</v>
      </c>
      <c r="B108">
        <v>4373</v>
      </c>
      <c r="C108" t="s">
        <v>432</v>
      </c>
      <c r="D108" t="s">
        <v>432</v>
      </c>
      <c r="H108">
        <v>418</v>
      </c>
    </row>
    <row r="109" spans="1:9" x14ac:dyDescent="0.3">
      <c r="A109" t="s">
        <v>1988</v>
      </c>
      <c r="B109">
        <v>4373</v>
      </c>
      <c r="C109" t="s">
        <v>432</v>
      </c>
      <c r="D109" t="s">
        <v>432</v>
      </c>
      <c r="E109" t="s">
        <v>2101</v>
      </c>
      <c r="H109">
        <v>418</v>
      </c>
    </row>
    <row r="111" spans="1:9" x14ac:dyDescent="0.3">
      <c r="A111" t="s">
        <v>2136</v>
      </c>
    </row>
    <row r="112" spans="1:9" x14ac:dyDescent="0.3">
      <c r="A112" t="s">
        <v>1987</v>
      </c>
      <c r="B112">
        <v>4374</v>
      </c>
      <c r="C112" t="s">
        <v>433</v>
      </c>
      <c r="D112" t="s">
        <v>433</v>
      </c>
      <c r="H112">
        <v>419</v>
      </c>
    </row>
    <row r="113" spans="1:9" x14ac:dyDescent="0.3">
      <c r="A113" t="s">
        <v>1988</v>
      </c>
      <c r="B113">
        <v>4374</v>
      </c>
      <c r="C113" t="s">
        <v>433</v>
      </c>
      <c r="D113" t="s">
        <v>433</v>
      </c>
      <c r="E113" t="s">
        <v>2102</v>
      </c>
      <c r="H113">
        <v>419</v>
      </c>
    </row>
    <row r="115" spans="1:9" x14ac:dyDescent="0.3">
      <c r="A115" t="s">
        <v>2137</v>
      </c>
    </row>
    <row r="116" spans="1:9" x14ac:dyDescent="0.3">
      <c r="A116" t="s">
        <v>1987</v>
      </c>
      <c r="B116">
        <v>4375</v>
      </c>
      <c r="C116" t="s">
        <v>434</v>
      </c>
      <c r="D116" t="s">
        <v>435</v>
      </c>
      <c r="E116" t="s">
        <v>1980</v>
      </c>
      <c r="H116">
        <v>420</v>
      </c>
    </row>
    <row r="117" spans="1:9" x14ac:dyDescent="0.3">
      <c r="A117" t="s">
        <v>1988</v>
      </c>
      <c r="B117">
        <v>4375</v>
      </c>
      <c r="C117" t="s">
        <v>2103</v>
      </c>
      <c r="D117" t="s">
        <v>435</v>
      </c>
      <c r="E117" t="s">
        <v>1980</v>
      </c>
      <c r="H117">
        <v>420</v>
      </c>
    </row>
    <row r="119" spans="1:9" x14ac:dyDescent="0.3">
      <c r="A119" t="s">
        <v>2138</v>
      </c>
    </row>
    <row r="120" spans="1:9" x14ac:dyDescent="0.3">
      <c r="A120" t="s">
        <v>1987</v>
      </c>
      <c r="B120">
        <v>4522</v>
      </c>
      <c r="C120" t="s">
        <v>471</v>
      </c>
      <c r="D120" t="s">
        <v>472</v>
      </c>
      <c r="I120" t="s">
        <v>473</v>
      </c>
    </row>
    <row r="121" spans="1:9" x14ac:dyDescent="0.3">
      <c r="A121" t="s">
        <v>1988</v>
      </c>
      <c r="B121">
        <v>4522</v>
      </c>
      <c r="C121" t="s">
        <v>471</v>
      </c>
      <c r="D121" t="s">
        <v>472</v>
      </c>
      <c r="E121" t="s">
        <v>2104</v>
      </c>
      <c r="I121" t="s">
        <v>473</v>
      </c>
    </row>
    <row r="123" spans="1:9" x14ac:dyDescent="0.3">
      <c r="A123" t="s">
        <v>2141</v>
      </c>
    </row>
    <row r="124" spans="1:9" x14ac:dyDescent="0.3">
      <c r="A124" t="s">
        <v>1987</v>
      </c>
      <c r="B124">
        <v>5100</v>
      </c>
      <c r="C124" t="s">
        <v>554</v>
      </c>
      <c r="D124" t="s">
        <v>555</v>
      </c>
      <c r="I124" t="s">
        <v>556</v>
      </c>
    </row>
    <row r="125" spans="1:9" x14ac:dyDescent="0.3">
      <c r="A125" t="s">
        <v>1988</v>
      </c>
      <c r="B125">
        <v>5100</v>
      </c>
      <c r="C125" t="s">
        <v>1821</v>
      </c>
      <c r="D125" t="s">
        <v>555</v>
      </c>
      <c r="E125" t="s">
        <v>554</v>
      </c>
      <c r="I125" t="s">
        <v>556</v>
      </c>
    </row>
    <row r="127" spans="1:9" x14ac:dyDescent="0.3">
      <c r="A127" t="s">
        <v>2139</v>
      </c>
    </row>
    <row r="128" spans="1:9" x14ac:dyDescent="0.3">
      <c r="A128" t="s">
        <v>1987</v>
      </c>
      <c r="B128">
        <v>5300</v>
      </c>
      <c r="C128" t="s">
        <v>2140</v>
      </c>
      <c r="D128" t="s">
        <v>586</v>
      </c>
      <c r="E128" t="s">
        <v>587</v>
      </c>
      <c r="I128" t="s">
        <v>588</v>
      </c>
    </row>
    <row r="129" spans="1:9" x14ac:dyDescent="0.3">
      <c r="A129" t="s">
        <v>1988</v>
      </c>
      <c r="B129">
        <v>5300</v>
      </c>
      <c r="C129" t="s">
        <v>2094</v>
      </c>
      <c r="D129" t="s">
        <v>586</v>
      </c>
      <c r="E129" t="s">
        <v>587</v>
      </c>
      <c r="I129" t="s">
        <v>588</v>
      </c>
    </row>
    <row r="131" spans="1:9" x14ac:dyDescent="0.3">
      <c r="A131" t="s">
        <v>2142</v>
      </c>
    </row>
    <row r="132" spans="1:9" x14ac:dyDescent="0.3">
      <c r="A132" t="s">
        <v>1987</v>
      </c>
      <c r="B132">
        <v>6220</v>
      </c>
      <c r="C132" t="s">
        <v>667</v>
      </c>
      <c r="D132" t="s">
        <v>668</v>
      </c>
      <c r="E132" t="s">
        <v>2143</v>
      </c>
      <c r="H132">
        <v>212</v>
      </c>
    </row>
    <row r="133" spans="1:9" x14ac:dyDescent="0.3">
      <c r="A133" t="s">
        <v>1988</v>
      </c>
      <c r="B133">
        <v>6220</v>
      </c>
      <c r="C133" t="s">
        <v>667</v>
      </c>
      <c r="D133" t="s">
        <v>668</v>
      </c>
      <c r="E133" t="s">
        <v>2095</v>
      </c>
      <c r="H133">
        <v>212</v>
      </c>
    </row>
    <row r="135" spans="1:9" x14ac:dyDescent="0.3">
      <c r="A135" t="s">
        <v>2144</v>
      </c>
    </row>
    <row r="136" spans="1:9" x14ac:dyDescent="0.3">
      <c r="A136" t="s">
        <v>1987</v>
      </c>
      <c r="B136">
        <v>6230</v>
      </c>
      <c r="C136" t="s">
        <v>1941</v>
      </c>
      <c r="D136" t="s">
        <v>1941</v>
      </c>
      <c r="I136" t="s">
        <v>1942</v>
      </c>
    </row>
    <row r="137" spans="1:9" x14ac:dyDescent="0.3">
      <c r="A137" t="s">
        <v>1988</v>
      </c>
      <c r="B137">
        <v>6230</v>
      </c>
      <c r="C137" t="s">
        <v>1941</v>
      </c>
      <c r="D137" t="s">
        <v>1941</v>
      </c>
      <c r="E137" t="s">
        <v>2096</v>
      </c>
      <c r="I137" t="s">
        <v>1942</v>
      </c>
    </row>
    <row r="139" spans="1:9" x14ac:dyDescent="0.3">
      <c r="A139" t="s">
        <v>2145</v>
      </c>
    </row>
    <row r="140" spans="1:9" x14ac:dyDescent="0.3">
      <c r="A140" t="s">
        <v>1987</v>
      </c>
      <c r="B140">
        <v>9600</v>
      </c>
      <c r="C140" t="s">
        <v>780</v>
      </c>
      <c r="D140" t="s">
        <v>1948</v>
      </c>
      <c r="I140" t="s">
        <v>1949</v>
      </c>
    </row>
    <row r="141" spans="1:9" x14ac:dyDescent="0.3">
      <c r="A141" t="s">
        <v>1988</v>
      </c>
      <c r="B141">
        <v>9600</v>
      </c>
      <c r="C141" t="s">
        <v>780</v>
      </c>
      <c r="D141" t="s">
        <v>1948</v>
      </c>
      <c r="E141" t="s">
        <v>2097</v>
      </c>
      <c r="I141" t="s">
        <v>1949</v>
      </c>
    </row>
    <row r="143" spans="1:9" x14ac:dyDescent="0.3">
      <c r="A143" t="s">
        <v>2146</v>
      </c>
    </row>
    <row r="144" spans="1:9" x14ac:dyDescent="0.3">
      <c r="A144" t="s">
        <v>1987</v>
      </c>
      <c r="B144">
        <v>9610</v>
      </c>
      <c r="C144" t="s">
        <v>781</v>
      </c>
      <c r="D144" t="s">
        <v>781</v>
      </c>
      <c r="I144" t="s">
        <v>782</v>
      </c>
    </row>
    <row r="145" spans="1:9" x14ac:dyDescent="0.3">
      <c r="A145" t="s">
        <v>1988</v>
      </c>
      <c r="B145">
        <v>9610</v>
      </c>
      <c r="C145" t="s">
        <v>781</v>
      </c>
      <c r="D145" t="s">
        <v>781</v>
      </c>
      <c r="E145" t="s">
        <v>2098</v>
      </c>
      <c r="I145" t="s">
        <v>782</v>
      </c>
    </row>
    <row r="147" spans="1:9" x14ac:dyDescent="0.3">
      <c r="A147" t="s">
        <v>2147</v>
      </c>
    </row>
    <row r="148" spans="1:9" x14ac:dyDescent="0.3">
      <c r="A148" t="s">
        <v>1987</v>
      </c>
      <c r="B148">
        <v>9620</v>
      </c>
      <c r="C148" t="s">
        <v>783</v>
      </c>
      <c r="D148" t="s">
        <v>783</v>
      </c>
      <c r="I148" t="s">
        <v>2148</v>
      </c>
    </row>
    <row r="149" spans="1:9" x14ac:dyDescent="0.3">
      <c r="A149" t="s">
        <v>1988</v>
      </c>
      <c r="B149">
        <v>9620</v>
      </c>
      <c r="C149" t="s">
        <v>783</v>
      </c>
      <c r="D149" t="s">
        <v>783</v>
      </c>
      <c r="E149" t="s">
        <v>2099</v>
      </c>
      <c r="I149" t="s">
        <v>2148</v>
      </c>
    </row>
    <row r="152" spans="1:9" x14ac:dyDescent="0.3">
      <c r="A152" s="31" t="s">
        <v>1992</v>
      </c>
      <c r="B152" s="31"/>
      <c r="C152" s="31"/>
    </row>
    <row r="153" spans="1:9" x14ac:dyDescent="0.3">
      <c r="B153" s="1" t="s">
        <v>3</v>
      </c>
      <c r="C153" s="1" t="s">
        <v>4</v>
      </c>
      <c r="D153" s="1" t="s">
        <v>14</v>
      </c>
      <c r="E153" s="1" t="s">
        <v>5</v>
      </c>
      <c r="F153" s="1" t="s">
        <v>6</v>
      </c>
      <c r="G153" s="1"/>
      <c r="H153" s="1" t="s">
        <v>15</v>
      </c>
      <c r="I153" s="1" t="s">
        <v>7</v>
      </c>
    </row>
    <row r="155" spans="1:9" x14ac:dyDescent="0.3">
      <c r="A155" s="35" t="s">
        <v>2157</v>
      </c>
      <c r="B155" s="35"/>
      <c r="C155" s="35"/>
    </row>
    <row r="156" spans="1:9" x14ac:dyDescent="0.3">
      <c r="A156" t="s">
        <v>1987</v>
      </c>
      <c r="B156">
        <v>4032</v>
      </c>
      <c r="C156" t="s">
        <v>1989</v>
      </c>
      <c r="D156" t="s">
        <v>708</v>
      </c>
      <c r="I156" t="s">
        <v>338</v>
      </c>
    </row>
    <row r="157" spans="1:9" x14ac:dyDescent="0.3">
      <c r="A157" t="s">
        <v>1988</v>
      </c>
      <c r="B157">
        <v>4032</v>
      </c>
      <c r="C157" t="s">
        <v>1952</v>
      </c>
      <c r="D157" t="s">
        <v>708</v>
      </c>
      <c r="I157" t="s">
        <v>338</v>
      </c>
    </row>
    <row r="159" spans="1:9" x14ac:dyDescent="0.3">
      <c r="A159" t="s">
        <v>2158</v>
      </c>
    </row>
    <row r="160" spans="1:9" x14ac:dyDescent="0.3">
      <c r="A160" t="s">
        <v>1987</v>
      </c>
      <c r="B160">
        <v>9020</v>
      </c>
      <c r="C160" t="s">
        <v>701</v>
      </c>
      <c r="D160" t="s">
        <v>702</v>
      </c>
      <c r="F160" s="5"/>
      <c r="G160" s="5"/>
      <c r="I160" t="str">
        <f>"(i456-i349+"&amp;VLOOKUP("steuerl.Sonderposten",Hilfstabelle!C15:D465,2,FALSE)&amp;"+i131)-i458"</f>
        <v>(i456-i349+F9041+i131)-i458</v>
      </c>
    </row>
    <row r="161" spans="1:9" x14ac:dyDescent="0.3">
      <c r="A161" t="s">
        <v>1988</v>
      </c>
      <c r="B161">
        <v>9020</v>
      </c>
      <c r="C161" t="s">
        <v>701</v>
      </c>
      <c r="D161" t="s">
        <v>702</v>
      </c>
      <c r="F161" s="5"/>
      <c r="G161" s="5"/>
      <c r="I161" t="str">
        <f>"(i456-i349+"&amp;VLOOKUP("steuerl.Sonderposten",Hilfstabelle!C16:D466,2,FALSE)&amp;"+i131)+i458"</f>
        <v>(i456-i349+F9041+i131)+i458</v>
      </c>
    </row>
    <row r="163" spans="1:9" x14ac:dyDescent="0.3">
      <c r="A163" t="s">
        <v>2159</v>
      </c>
    </row>
    <row r="164" spans="1:9" x14ac:dyDescent="0.3">
      <c r="A164" t="s">
        <v>1987</v>
      </c>
      <c r="B164">
        <v>4141</v>
      </c>
      <c r="C164" t="s">
        <v>364</v>
      </c>
      <c r="I164" t="s">
        <v>1990</v>
      </c>
    </row>
    <row r="165" spans="1:9" x14ac:dyDescent="0.3">
      <c r="A165" t="s">
        <v>1988</v>
      </c>
      <c r="B165">
        <v>4300</v>
      </c>
      <c r="C165" t="s">
        <v>368</v>
      </c>
      <c r="D165" t="s">
        <v>369</v>
      </c>
      <c r="E165" t="s">
        <v>364</v>
      </c>
      <c r="I165" t="s">
        <v>1993</v>
      </c>
    </row>
    <row r="167" spans="1:9" x14ac:dyDescent="0.3">
      <c r="A167" t="s">
        <v>1991</v>
      </c>
    </row>
    <row r="168" spans="1:9" x14ac:dyDescent="0.3">
      <c r="A168" t="s">
        <v>1987</v>
      </c>
      <c r="B168">
        <v>4032</v>
      </c>
      <c r="C168" t="s">
        <v>337</v>
      </c>
      <c r="D168" t="s">
        <v>708</v>
      </c>
      <c r="E168" t="s">
        <v>337</v>
      </c>
      <c r="I168" t="s">
        <v>338</v>
      </c>
    </row>
    <row r="169" spans="1:9" x14ac:dyDescent="0.3">
      <c r="A169" t="s">
        <v>1988</v>
      </c>
      <c r="B169">
        <v>4032</v>
      </c>
      <c r="C169" t="s">
        <v>1952</v>
      </c>
      <c r="D169" t="s">
        <v>708</v>
      </c>
      <c r="I169" t="s">
        <v>338</v>
      </c>
    </row>
    <row r="171" spans="1:9" x14ac:dyDescent="0.3">
      <c r="A171" t="s">
        <v>1986</v>
      </c>
    </row>
    <row r="172" spans="1:9" x14ac:dyDescent="0.3">
      <c r="A172" t="s">
        <v>1988</v>
      </c>
      <c r="B172">
        <v>4034</v>
      </c>
      <c r="C172" t="s">
        <v>337</v>
      </c>
      <c r="H172">
        <v>451</v>
      </c>
    </row>
    <row r="174" spans="1:9" x14ac:dyDescent="0.3">
      <c r="A174" t="s">
        <v>2019</v>
      </c>
    </row>
    <row r="175" spans="1:9" x14ac:dyDescent="0.3">
      <c r="A175" t="s">
        <v>1987</v>
      </c>
      <c r="B175">
        <v>4034</v>
      </c>
      <c r="C175" t="s">
        <v>343</v>
      </c>
      <c r="H175">
        <v>452</v>
      </c>
    </row>
    <row r="176" spans="1:9" x14ac:dyDescent="0.3">
      <c r="A176" t="s">
        <v>1988</v>
      </c>
      <c r="B176">
        <v>4035</v>
      </c>
      <c r="C176" t="s">
        <v>343</v>
      </c>
      <c r="H176">
        <v>452</v>
      </c>
    </row>
    <row r="178" spans="1:9" x14ac:dyDescent="0.3">
      <c r="A178" t="s">
        <v>2020</v>
      </c>
    </row>
    <row r="179" spans="1:9" x14ac:dyDescent="0.3">
      <c r="A179" t="s">
        <v>1987</v>
      </c>
      <c r="B179">
        <v>4035</v>
      </c>
      <c r="C179" t="s">
        <v>345</v>
      </c>
      <c r="H179">
        <v>455</v>
      </c>
    </row>
    <row r="180" spans="1:9" x14ac:dyDescent="0.3">
      <c r="A180" t="s">
        <v>1988</v>
      </c>
      <c r="B180">
        <v>4036</v>
      </c>
      <c r="C180" t="s">
        <v>345</v>
      </c>
      <c r="H180">
        <v>455</v>
      </c>
    </row>
    <row r="182" spans="1:9" x14ac:dyDescent="0.3">
      <c r="A182" t="s">
        <v>1994</v>
      </c>
    </row>
    <row r="183" spans="1:9" x14ac:dyDescent="0.3">
      <c r="A183" t="s">
        <v>1995</v>
      </c>
      <c r="B183">
        <v>9440</v>
      </c>
      <c r="C183" t="s">
        <v>1996</v>
      </c>
      <c r="D183" t="s">
        <v>1996</v>
      </c>
      <c r="I183" t="s">
        <v>1997</v>
      </c>
    </row>
    <row r="184" spans="1:9" x14ac:dyDescent="0.3">
      <c r="A184" t="s">
        <v>1995</v>
      </c>
      <c r="B184">
        <v>9450</v>
      </c>
      <c r="C184" t="s">
        <v>1998</v>
      </c>
      <c r="D184" t="s">
        <v>1998</v>
      </c>
      <c r="I184" t="s">
        <v>1999</v>
      </c>
    </row>
    <row r="185" spans="1:9" x14ac:dyDescent="0.3">
      <c r="A185" t="s">
        <v>1995</v>
      </c>
      <c r="B185">
        <v>9470</v>
      </c>
      <c r="C185" t="s">
        <v>2000</v>
      </c>
      <c r="D185" t="s">
        <v>2000</v>
      </c>
      <c r="I185" t="s">
        <v>2001</v>
      </c>
    </row>
    <row r="186" spans="1:9" x14ac:dyDescent="0.3">
      <c r="A186" t="s">
        <v>1995</v>
      </c>
      <c r="B186">
        <v>9480</v>
      </c>
      <c r="C186" t="s">
        <v>2002</v>
      </c>
      <c r="D186" t="s">
        <v>2003</v>
      </c>
      <c r="I186" t="s">
        <v>2004</v>
      </c>
    </row>
    <row r="187" spans="1:9" x14ac:dyDescent="0.3">
      <c r="A187" t="s">
        <v>1995</v>
      </c>
      <c r="B187">
        <v>9490</v>
      </c>
      <c r="C187" t="s">
        <v>2005</v>
      </c>
      <c r="D187" t="s">
        <v>2006</v>
      </c>
      <c r="I187" t="s">
        <v>2007</v>
      </c>
    </row>
    <row r="189" spans="1:9" x14ac:dyDescent="0.3">
      <c r="A189" t="s">
        <v>2021</v>
      </c>
    </row>
    <row r="190" spans="1:9" x14ac:dyDescent="0.3">
      <c r="A190" t="s">
        <v>1987</v>
      </c>
      <c r="B190">
        <v>9220</v>
      </c>
      <c r="C190" t="s">
        <v>2008</v>
      </c>
      <c r="D190" t="s">
        <v>2008</v>
      </c>
      <c r="E190" t="s">
        <v>2009</v>
      </c>
      <c r="I190" t="s">
        <v>2010</v>
      </c>
    </row>
    <row r="191" spans="1:9" x14ac:dyDescent="0.3">
      <c r="A191" t="s">
        <v>1988</v>
      </c>
      <c r="B191">
        <v>9220</v>
      </c>
      <c r="C191" t="s">
        <v>1959</v>
      </c>
      <c r="D191" t="s">
        <v>1959</v>
      </c>
      <c r="E191" t="s">
        <v>1960</v>
      </c>
      <c r="I191" t="s">
        <v>2011</v>
      </c>
    </row>
    <row r="193" spans="1:9" x14ac:dyDescent="0.3">
      <c r="A193" t="s">
        <v>2022</v>
      </c>
    </row>
    <row r="194" spans="1:9" x14ac:dyDescent="0.3">
      <c r="A194" t="s">
        <v>1987</v>
      </c>
      <c r="B194">
        <v>9735</v>
      </c>
      <c r="C194" t="s">
        <v>765</v>
      </c>
      <c r="D194" t="s">
        <v>765</v>
      </c>
      <c r="I194" t="s">
        <v>2012</v>
      </c>
    </row>
    <row r="195" spans="1:9" x14ac:dyDescent="0.3">
      <c r="A195" t="s">
        <v>1988</v>
      </c>
      <c r="B195">
        <v>9735</v>
      </c>
      <c r="C195" t="s">
        <v>1954</v>
      </c>
      <c r="D195" t="s">
        <v>765</v>
      </c>
      <c r="I195" t="s">
        <v>2012</v>
      </c>
    </row>
    <row r="197" spans="1:9" x14ac:dyDescent="0.3">
      <c r="A197" t="s">
        <v>2160</v>
      </c>
    </row>
    <row r="198" spans="1:9" x14ac:dyDescent="0.3">
      <c r="A198" t="s">
        <v>1987</v>
      </c>
      <c r="B198">
        <v>9732</v>
      </c>
      <c r="C198" t="s">
        <v>758</v>
      </c>
      <c r="D198" t="s">
        <v>759</v>
      </c>
      <c r="I198" t="s">
        <v>760</v>
      </c>
    </row>
    <row r="199" spans="1:9" x14ac:dyDescent="0.3">
      <c r="A199" t="s">
        <v>1988</v>
      </c>
      <c r="B199">
        <v>9732</v>
      </c>
      <c r="C199" t="s">
        <v>758</v>
      </c>
      <c r="D199" t="s">
        <v>759</v>
      </c>
      <c r="E199" t="s">
        <v>1969</v>
      </c>
      <c r="I199" t="s">
        <v>760</v>
      </c>
    </row>
    <row r="201" spans="1:9" x14ac:dyDescent="0.3">
      <c r="A201" t="s">
        <v>2023</v>
      </c>
    </row>
    <row r="202" spans="1:9" x14ac:dyDescent="0.3">
      <c r="A202" t="s">
        <v>1988</v>
      </c>
      <c r="B202">
        <v>4131</v>
      </c>
      <c r="C202" t="s">
        <v>1956</v>
      </c>
      <c r="D202" t="s">
        <v>1958</v>
      </c>
      <c r="I202" t="s">
        <v>2013</v>
      </c>
    </row>
    <row r="204" spans="1:9" x14ac:dyDescent="0.3">
      <c r="A204" t="s">
        <v>2024</v>
      </c>
    </row>
    <row r="205" spans="1:9" x14ac:dyDescent="0.3">
      <c r="A205" t="s">
        <v>1987</v>
      </c>
      <c r="B205">
        <v>3151</v>
      </c>
      <c r="C205" t="s">
        <v>2161</v>
      </c>
      <c r="D205" t="s">
        <v>46</v>
      </c>
      <c r="I205" t="s">
        <v>47</v>
      </c>
    </row>
    <row r="206" spans="1:9" x14ac:dyDescent="0.3">
      <c r="A206" t="s">
        <v>1988</v>
      </c>
      <c r="B206">
        <v>3151</v>
      </c>
      <c r="C206" t="s">
        <v>46</v>
      </c>
      <c r="D206" t="s">
        <v>46</v>
      </c>
      <c r="I206" t="s">
        <v>47</v>
      </c>
    </row>
    <row r="208" spans="1:9" x14ac:dyDescent="0.3">
      <c r="A208" t="s">
        <v>2018</v>
      </c>
    </row>
    <row r="209" spans="1:9" x14ac:dyDescent="0.3">
      <c r="A209" t="s">
        <v>1987</v>
      </c>
      <c r="B209">
        <v>9400</v>
      </c>
      <c r="C209" t="s">
        <v>722</v>
      </c>
      <c r="D209" t="s">
        <v>719</v>
      </c>
      <c r="I209" t="s">
        <v>2014</v>
      </c>
    </row>
    <row r="210" spans="1:9" x14ac:dyDescent="0.3">
      <c r="A210" t="s">
        <v>1988</v>
      </c>
      <c r="B210">
        <v>9400</v>
      </c>
      <c r="C210" t="s">
        <v>1961</v>
      </c>
      <c r="D210" t="s">
        <v>719</v>
      </c>
      <c r="I210" t="s">
        <v>2014</v>
      </c>
    </row>
    <row r="211" spans="1:9" x14ac:dyDescent="0.3">
      <c r="A211" t="s">
        <v>1987</v>
      </c>
      <c r="B211">
        <v>9410</v>
      </c>
      <c r="C211" t="s">
        <v>724</v>
      </c>
      <c r="D211" t="s">
        <v>724</v>
      </c>
      <c r="I211" t="s">
        <v>2015</v>
      </c>
    </row>
    <row r="212" spans="1:9" x14ac:dyDescent="0.3">
      <c r="A212" t="s">
        <v>1988</v>
      </c>
      <c r="B212">
        <v>9410</v>
      </c>
      <c r="C212" t="s">
        <v>1962</v>
      </c>
      <c r="D212" t="s">
        <v>724</v>
      </c>
      <c r="I212" t="s">
        <v>2015</v>
      </c>
    </row>
    <row r="213" spans="1:9" x14ac:dyDescent="0.3">
      <c r="A213" t="s">
        <v>1987</v>
      </c>
      <c r="B213">
        <v>9420</v>
      </c>
      <c r="C213" t="s">
        <v>1908</v>
      </c>
      <c r="D213" t="s">
        <v>720</v>
      </c>
      <c r="I213" t="s">
        <v>2016</v>
      </c>
    </row>
    <row r="214" spans="1:9" x14ac:dyDescent="0.3">
      <c r="A214" t="s">
        <v>1988</v>
      </c>
      <c r="B214">
        <v>9420</v>
      </c>
      <c r="C214" t="s">
        <v>1963</v>
      </c>
      <c r="D214" t="s">
        <v>720</v>
      </c>
      <c r="I214" t="s">
        <v>2016</v>
      </c>
    </row>
    <row r="215" spans="1:9" x14ac:dyDescent="0.3">
      <c r="A215" t="s">
        <v>1987</v>
      </c>
      <c r="B215">
        <v>9430</v>
      </c>
      <c r="C215" t="s">
        <v>1946</v>
      </c>
      <c r="D215" t="s">
        <v>1947</v>
      </c>
      <c r="I215" t="s">
        <v>2017</v>
      </c>
    </row>
    <row r="216" spans="1:9" x14ac:dyDescent="0.3">
      <c r="A216" t="s">
        <v>1988</v>
      </c>
      <c r="B216">
        <v>9430</v>
      </c>
      <c r="C216" t="s">
        <v>1964</v>
      </c>
      <c r="D216" t="s">
        <v>1947</v>
      </c>
      <c r="I216" t="s">
        <v>2017</v>
      </c>
    </row>
    <row r="218" spans="1:9" x14ac:dyDescent="0.3">
      <c r="A218" t="s">
        <v>2025</v>
      </c>
    </row>
    <row r="219" spans="1:9" x14ac:dyDescent="0.3">
      <c r="A219" t="s">
        <v>1988</v>
      </c>
      <c r="B219">
        <v>2401</v>
      </c>
      <c r="C219" t="s">
        <v>1965</v>
      </c>
      <c r="D219" t="s">
        <v>1965</v>
      </c>
      <c r="I219" t="s">
        <v>1966</v>
      </c>
    </row>
    <row r="221" spans="1:9" x14ac:dyDescent="0.3">
      <c r="A221" t="s">
        <v>2162</v>
      </c>
    </row>
    <row r="222" spans="1:9" x14ac:dyDescent="0.3">
      <c r="A222" t="s">
        <v>1987</v>
      </c>
      <c r="B222">
        <v>1000</v>
      </c>
      <c r="C222" t="s">
        <v>188</v>
      </c>
      <c r="D222" t="s">
        <v>186</v>
      </c>
      <c r="I222" t="s">
        <v>2026</v>
      </c>
    </row>
    <row r="223" spans="1:9" x14ac:dyDescent="0.3">
      <c r="A223" t="s">
        <v>1988</v>
      </c>
      <c r="B223">
        <v>1000</v>
      </c>
      <c r="C223" t="s">
        <v>1968</v>
      </c>
      <c r="D223" t="s">
        <v>186</v>
      </c>
      <c r="E223" t="s">
        <v>1970</v>
      </c>
      <c r="I223" t="s">
        <v>2026</v>
      </c>
    </row>
    <row r="225" spans="1:9" x14ac:dyDescent="0.3">
      <c r="A225" t="s">
        <v>2027</v>
      </c>
    </row>
    <row r="226" spans="1:9" x14ac:dyDescent="0.3">
      <c r="A226" t="s">
        <v>1987</v>
      </c>
      <c r="B226">
        <v>2400</v>
      </c>
      <c r="C226" t="s">
        <v>239</v>
      </c>
      <c r="D226" t="s">
        <v>239</v>
      </c>
      <c r="I226" t="s">
        <v>240</v>
      </c>
    </row>
    <row r="227" spans="1:9" x14ac:dyDescent="0.3">
      <c r="A227" t="s">
        <v>1988</v>
      </c>
      <c r="B227">
        <v>2400</v>
      </c>
      <c r="C227" t="s">
        <v>239</v>
      </c>
      <c r="D227" t="s">
        <v>239</v>
      </c>
      <c r="E227" t="s">
        <v>1971</v>
      </c>
      <c r="I227" t="s">
        <v>240</v>
      </c>
    </row>
    <row r="229" spans="1:9" x14ac:dyDescent="0.3">
      <c r="A229" t="s">
        <v>2029</v>
      </c>
    </row>
    <row r="230" spans="1:9" x14ac:dyDescent="0.3">
      <c r="A230" t="s">
        <v>1987</v>
      </c>
      <c r="B230">
        <v>5130</v>
      </c>
      <c r="C230" t="s">
        <v>557</v>
      </c>
      <c r="D230" t="s">
        <v>12</v>
      </c>
      <c r="I230" t="s">
        <v>2028</v>
      </c>
    </row>
    <row r="231" spans="1:9" x14ac:dyDescent="0.3">
      <c r="A231" t="s">
        <v>1988</v>
      </c>
      <c r="B231">
        <v>5130</v>
      </c>
      <c r="C231" t="s">
        <v>557</v>
      </c>
      <c r="D231" t="s">
        <v>12</v>
      </c>
      <c r="E231" t="s">
        <v>1972</v>
      </c>
      <c r="I231" t="s">
        <v>2028</v>
      </c>
    </row>
    <row r="233" spans="1:9" x14ac:dyDescent="0.3">
      <c r="A233" t="s">
        <v>2031</v>
      </c>
    </row>
    <row r="234" spans="1:9" x14ac:dyDescent="0.3">
      <c r="A234" t="s">
        <v>1987</v>
      </c>
      <c r="B234">
        <v>5520</v>
      </c>
      <c r="C234" t="s">
        <v>631</v>
      </c>
      <c r="D234" t="s">
        <v>632</v>
      </c>
      <c r="I234" t="s">
        <v>2030</v>
      </c>
    </row>
    <row r="235" spans="1:9" x14ac:dyDescent="0.3">
      <c r="A235" t="s">
        <v>1988</v>
      </c>
      <c r="B235">
        <v>5520</v>
      </c>
      <c r="C235" t="s">
        <v>631</v>
      </c>
      <c r="D235" t="s">
        <v>632</v>
      </c>
      <c r="E235" t="s">
        <v>575</v>
      </c>
      <c r="I235" t="s">
        <v>2030</v>
      </c>
    </row>
    <row r="237" spans="1:9" x14ac:dyDescent="0.3">
      <c r="A237" t="s">
        <v>2032</v>
      </c>
    </row>
    <row r="238" spans="1:9" x14ac:dyDescent="0.3">
      <c r="A238" t="s">
        <v>1987</v>
      </c>
      <c r="B238">
        <v>6400</v>
      </c>
      <c r="C238" t="s">
        <v>680</v>
      </c>
      <c r="D238" t="s">
        <v>681</v>
      </c>
      <c r="I238" t="s">
        <v>682</v>
      </c>
    </row>
    <row r="239" spans="1:9" x14ac:dyDescent="0.3">
      <c r="A239" t="s">
        <v>1988</v>
      </c>
      <c r="B239">
        <v>6400</v>
      </c>
      <c r="C239" t="s">
        <v>680</v>
      </c>
      <c r="D239" t="s">
        <v>681</v>
      </c>
      <c r="E239" t="s">
        <v>681</v>
      </c>
      <c r="I239" t="s">
        <v>682</v>
      </c>
    </row>
    <row r="241" spans="1:9" x14ac:dyDescent="0.3">
      <c r="A241" t="s">
        <v>2033</v>
      </c>
    </row>
    <row r="242" spans="1:9" x14ac:dyDescent="0.3">
      <c r="A242" t="s">
        <v>1988</v>
      </c>
      <c r="B242">
        <v>3040</v>
      </c>
      <c r="C242" t="s">
        <v>1288</v>
      </c>
      <c r="D242" t="s">
        <v>1288</v>
      </c>
      <c r="I242" t="s">
        <v>1973</v>
      </c>
    </row>
    <row r="244" spans="1:9" x14ac:dyDescent="0.3">
      <c r="A244" t="s">
        <v>2047</v>
      </c>
    </row>
    <row r="245" spans="1:9" x14ac:dyDescent="0.3">
      <c r="A245" t="s">
        <v>1987</v>
      </c>
      <c r="B245">
        <v>4720</v>
      </c>
      <c r="C245" t="s">
        <v>523</v>
      </c>
      <c r="I245" t="s">
        <v>2036</v>
      </c>
    </row>
    <row r="246" spans="1:9" x14ac:dyDescent="0.3">
      <c r="A246" t="s">
        <v>1988</v>
      </c>
      <c r="B246">
        <v>4721</v>
      </c>
      <c r="C246" t="s">
        <v>523</v>
      </c>
      <c r="D246" t="s">
        <v>523</v>
      </c>
      <c r="I246" t="s">
        <v>2035</v>
      </c>
    </row>
    <row r="248" spans="1:9" x14ac:dyDescent="0.3">
      <c r="A248" t="s">
        <v>2037</v>
      </c>
    </row>
    <row r="249" spans="1:9" x14ac:dyDescent="0.3">
      <c r="A249" t="s">
        <v>1987</v>
      </c>
      <c r="B249">
        <v>4730</v>
      </c>
      <c r="C249" t="s">
        <v>524</v>
      </c>
      <c r="I249" t="s">
        <v>2038</v>
      </c>
    </row>
    <row r="250" spans="1:9" x14ac:dyDescent="0.3">
      <c r="A250" t="s">
        <v>1988</v>
      </c>
      <c r="B250">
        <v>4722</v>
      </c>
      <c r="C250" t="s">
        <v>524</v>
      </c>
      <c r="D250" t="s">
        <v>524</v>
      </c>
      <c r="I250" t="s">
        <v>2038</v>
      </c>
    </row>
    <row r="252" spans="1:9" x14ac:dyDescent="0.3">
      <c r="A252" t="s">
        <v>2034</v>
      </c>
    </row>
    <row r="253" spans="1:9" x14ac:dyDescent="0.3">
      <c r="A253" t="s">
        <v>1988</v>
      </c>
      <c r="B253">
        <v>4720</v>
      </c>
      <c r="C253" t="s">
        <v>1975</v>
      </c>
      <c r="D253" t="s">
        <v>1981</v>
      </c>
      <c r="I253" t="s">
        <v>2039</v>
      </c>
    </row>
    <row r="255" spans="1:9" x14ac:dyDescent="0.3">
      <c r="A255" t="s">
        <v>2040</v>
      </c>
    </row>
    <row r="256" spans="1:9" x14ac:dyDescent="0.3">
      <c r="A256" t="s">
        <v>1987</v>
      </c>
      <c r="B256">
        <v>4740</v>
      </c>
      <c r="C256" t="s">
        <v>532</v>
      </c>
      <c r="D256" t="s">
        <v>532</v>
      </c>
      <c r="I256" t="s">
        <v>2044</v>
      </c>
    </row>
    <row r="257" spans="1:9" x14ac:dyDescent="0.3">
      <c r="A257" t="s">
        <v>1988</v>
      </c>
      <c r="B257">
        <v>4730</v>
      </c>
      <c r="C257" t="s">
        <v>532</v>
      </c>
      <c r="D257" t="s">
        <v>532</v>
      </c>
      <c r="I257" t="s">
        <v>2042</v>
      </c>
    </row>
    <row r="259" spans="1:9" x14ac:dyDescent="0.3">
      <c r="A259" t="s">
        <v>2041</v>
      </c>
    </row>
    <row r="260" spans="1:9" x14ac:dyDescent="0.3">
      <c r="A260" t="s">
        <v>1987</v>
      </c>
      <c r="B260">
        <v>4741</v>
      </c>
      <c r="C260" t="s">
        <v>533</v>
      </c>
      <c r="D260" t="s">
        <v>534</v>
      </c>
      <c r="I260" t="s">
        <v>2043</v>
      </c>
    </row>
    <row r="261" spans="1:9" x14ac:dyDescent="0.3">
      <c r="A261" t="s">
        <v>1988</v>
      </c>
      <c r="B261">
        <v>4731</v>
      </c>
      <c r="C261" t="s">
        <v>533</v>
      </c>
      <c r="D261" t="s">
        <v>534</v>
      </c>
      <c r="I261" t="s">
        <v>2043</v>
      </c>
    </row>
    <row r="263" spans="1:9" x14ac:dyDescent="0.3">
      <c r="A263" t="s">
        <v>2046</v>
      </c>
    </row>
    <row r="264" spans="1:9" x14ac:dyDescent="0.3">
      <c r="A264" t="s">
        <v>1987</v>
      </c>
      <c r="B264">
        <v>9721</v>
      </c>
      <c r="C264" t="s">
        <v>745</v>
      </c>
      <c r="D264" t="s">
        <v>746</v>
      </c>
      <c r="I264" t="s">
        <v>2045</v>
      </c>
    </row>
    <row r="265" spans="1:9" x14ac:dyDescent="0.3">
      <c r="A265" t="s">
        <v>1988</v>
      </c>
      <c r="B265">
        <v>9721</v>
      </c>
      <c r="C265" t="s">
        <v>745</v>
      </c>
      <c r="D265" t="s">
        <v>746</v>
      </c>
      <c r="E265" t="s">
        <v>1979</v>
      </c>
      <c r="I265" t="s">
        <v>2045</v>
      </c>
    </row>
    <row r="267" spans="1:9" x14ac:dyDescent="0.3">
      <c r="A267" t="s">
        <v>2048</v>
      </c>
    </row>
    <row r="268" spans="1:9" x14ac:dyDescent="0.3">
      <c r="A268" t="s">
        <v>1987</v>
      </c>
      <c r="B268">
        <v>4375</v>
      </c>
      <c r="C268" t="s">
        <v>434</v>
      </c>
      <c r="D268" t="s">
        <v>435</v>
      </c>
      <c r="H268">
        <v>420</v>
      </c>
    </row>
    <row r="269" spans="1:9" x14ac:dyDescent="0.3">
      <c r="A269" t="s">
        <v>1988</v>
      </c>
      <c r="B269">
        <v>4375</v>
      </c>
      <c r="C269" t="s">
        <v>434</v>
      </c>
      <c r="D269" t="s">
        <v>435</v>
      </c>
      <c r="E269" t="s">
        <v>1980</v>
      </c>
      <c r="H269">
        <v>420</v>
      </c>
    </row>
    <row r="271" spans="1:9" x14ac:dyDescent="0.3">
      <c r="A271" t="s">
        <v>2051</v>
      </c>
    </row>
    <row r="272" spans="1:9" x14ac:dyDescent="0.3">
      <c r="A272" t="s">
        <v>1987</v>
      </c>
      <c r="B272">
        <v>2300</v>
      </c>
      <c r="C272" t="s">
        <v>308</v>
      </c>
      <c r="D272" t="s">
        <v>309</v>
      </c>
      <c r="I272" t="s">
        <v>2050</v>
      </c>
    </row>
    <row r="273" spans="1:9" x14ac:dyDescent="0.3">
      <c r="A273" t="s">
        <v>1988</v>
      </c>
      <c r="B273">
        <v>2300</v>
      </c>
      <c r="C273" t="s">
        <v>308</v>
      </c>
      <c r="D273" t="s">
        <v>1983</v>
      </c>
      <c r="E273" t="s">
        <v>294</v>
      </c>
      <c r="I273" t="s">
        <v>2050</v>
      </c>
    </row>
    <row r="275" spans="1:9" x14ac:dyDescent="0.3">
      <c r="A275" t="s">
        <v>2049</v>
      </c>
    </row>
    <row r="276" spans="1:9" x14ac:dyDescent="0.3">
      <c r="A276" t="s">
        <v>1987</v>
      </c>
      <c r="B276">
        <v>2301</v>
      </c>
      <c r="C276" t="s">
        <v>310</v>
      </c>
      <c r="D276" t="s">
        <v>310</v>
      </c>
      <c r="I276" t="s">
        <v>2052</v>
      </c>
    </row>
    <row r="277" spans="1:9" x14ac:dyDescent="0.3">
      <c r="A277" t="s">
        <v>1988</v>
      </c>
      <c r="B277">
        <v>2301</v>
      </c>
      <c r="C277" t="s">
        <v>310</v>
      </c>
      <c r="D277" t="s">
        <v>1985</v>
      </c>
      <c r="E277" t="s">
        <v>1984</v>
      </c>
      <c r="I277" t="s">
        <v>2052</v>
      </c>
    </row>
  </sheetData>
  <mergeCells count="3">
    <mergeCell ref="A152:C152"/>
    <mergeCell ref="A155:C155"/>
    <mergeCell ref="A1:C1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9"/>
  <sheetViews>
    <sheetView workbookViewId="0"/>
  </sheetViews>
  <sheetFormatPr baseColWidth="10" defaultRowHeight="14.4" x14ac:dyDescent="0.3"/>
  <cols>
    <col min="1" max="1" width="4" bestFit="1" customWidth="1"/>
    <col min="2" max="2" width="2" bestFit="1" customWidth="1"/>
    <col min="3" max="3" width="32.44140625" customWidth="1"/>
    <col min="4" max="4" width="18" customWidth="1"/>
    <col min="11" max="11" width="18.44140625" customWidth="1"/>
  </cols>
  <sheetData>
    <row r="1" spans="1:11" ht="15" thickBot="1" x14ac:dyDescent="0.35">
      <c r="H1" s="29" t="s">
        <v>1640</v>
      </c>
      <c r="I1" s="29"/>
      <c r="J1" s="29" t="s">
        <v>0</v>
      </c>
      <c r="K1" s="29"/>
    </row>
    <row r="2" spans="1:11" ht="15" thickBot="1" x14ac:dyDescent="0.35">
      <c r="C2" s="15" t="s">
        <v>1792</v>
      </c>
      <c r="D2" s="1"/>
      <c r="E2" s="1"/>
      <c r="F2" s="1"/>
      <c r="G2" s="12" t="s">
        <v>1639</v>
      </c>
      <c r="H2" s="29">
        <v>3130</v>
      </c>
      <c r="I2" s="29"/>
      <c r="J2" s="29" t="str">
        <f>IF(H2&gt;0,VLOOKUP("F"&amp;H2,Hilfstabelle!A1:B451,2,FALSE),"")</f>
        <v>Umsatzerlöse</v>
      </c>
      <c r="K2" s="29"/>
    </row>
    <row r="3" spans="1:11" x14ac:dyDescent="0.3">
      <c r="C3" s="1" t="s">
        <v>1795</v>
      </c>
      <c r="D3" s="1" t="s">
        <v>14</v>
      </c>
      <c r="E3" s="1" t="s">
        <v>16</v>
      </c>
      <c r="F3" s="1"/>
      <c r="G3" s="12" t="s">
        <v>1638</v>
      </c>
      <c r="H3" s="29">
        <v>225</v>
      </c>
      <c r="I3" s="29"/>
      <c r="J3" s="29" t="str">
        <f>IF(H3&gt;0,VLOOKUP(H3,Hilfstabelle!F1:G548,2,FALSE),"")</f>
        <v>Gewinn</v>
      </c>
      <c r="K3" s="29"/>
    </row>
    <row r="4" spans="1:11" x14ac:dyDescent="0.3">
      <c r="A4" t="s">
        <v>1796</v>
      </c>
      <c r="C4" t="s">
        <v>60</v>
      </c>
      <c r="D4" t="str">
        <f>VLOOKUP("Umsatzerlöse_N",Hilfstabelle!$C$1:$D$499,2,FALSE)</f>
        <v>F3130</v>
      </c>
      <c r="E4" s="16" t="s">
        <v>20</v>
      </c>
      <c r="F4" s="16"/>
    </row>
    <row r="5" spans="1:11" x14ac:dyDescent="0.3">
      <c r="A5" t="s">
        <v>1797</v>
      </c>
      <c r="B5" t="s">
        <v>1798</v>
      </c>
      <c r="C5" t="s">
        <v>1799</v>
      </c>
      <c r="D5" t="str">
        <f>VLOOKUP("sonst. betr. Erträge_N",Hilfstabelle!$C$1:$D$498,2,FALSE)</f>
        <v>F3140</v>
      </c>
      <c r="E5" s="16" t="s">
        <v>20</v>
      </c>
      <c r="F5" s="16"/>
    </row>
    <row r="6" spans="1:11" x14ac:dyDescent="0.3">
      <c r="A6" t="s">
        <v>1800</v>
      </c>
      <c r="B6" t="s">
        <v>1801</v>
      </c>
      <c r="C6" t="s">
        <v>50</v>
      </c>
      <c r="D6" t="str">
        <f>VLOOKUP("betriebliche Erträge_N",Hilfstabelle!$C$1:$D$498,2,FALSE)</f>
        <v>F3150</v>
      </c>
      <c r="E6" s="16" t="s">
        <v>20</v>
      </c>
      <c r="F6" s="16"/>
    </row>
    <row r="7" spans="1:11" x14ac:dyDescent="0.3">
      <c r="A7" t="s">
        <v>1802</v>
      </c>
      <c r="C7" t="str">
        <f>IF(C2=Hilfstabelle!K8,"Materialaufwand","Materialaufwand inkl. Fremdleistungen")</f>
        <v>Materialaufwand inkl. Fremdleistungen</v>
      </c>
      <c r="D7" t="str">
        <f>IF(C7="Materialaufwand inkl. Fremdleistungen",VLOOKUP("SpezialA insg.",Hilfstabelle!$C$1:$D$498,2,FALSE),VLOOKUP("Materialaufwand_N",Hilfstabelle!$C$1:$D$498,2,FALSE))</f>
        <v>F4300</v>
      </c>
      <c r="E7" s="16" t="s">
        <v>20</v>
      </c>
      <c r="F7" s="16"/>
    </row>
    <row r="8" spans="1:11" x14ac:dyDescent="0.3">
      <c r="A8" t="s">
        <v>1803</v>
      </c>
      <c r="B8" t="s">
        <v>1798</v>
      </c>
      <c r="C8" t="str">
        <f>IF(C2=Hilfstabelle!K8,"Fremdleistung","Personalaufwand")</f>
        <v>Personalaufwand</v>
      </c>
      <c r="D8" t="str">
        <f>IF(C8="Personalaufwand",VLOOKUP("Personalaufwand_N",Hilfstabelle!$C$1:$D$498,2,FALSE),VLOOKUP("Fremdleistung",Hilfstabelle!$C$1:$D$498,2,FALSE))</f>
        <v>F4430</v>
      </c>
      <c r="E8" s="16" t="s">
        <v>20</v>
      </c>
      <c r="F8" s="16"/>
    </row>
    <row r="9" spans="1:11" x14ac:dyDescent="0.3">
      <c r="A9" t="s">
        <v>1804</v>
      </c>
      <c r="B9" t="s">
        <v>1798</v>
      </c>
      <c r="C9" t="str">
        <f>IF(C2=Hilfstabelle!K8,"Personalaufwand","sonstige betriebliche Aufwendungen")</f>
        <v>sonstige betriebliche Aufwendungen</v>
      </c>
      <c r="D9" t="str">
        <f>IF(C9="Personalaufwand",VLOOKUP("Personalaufwand_N",Hilfstabelle!$C$1:$D$498,2,FALSE),VLOOKUP("sonst. Betr. Aufwendungen_N",Hilfstabelle!$C$1:$D$498,2,FALSE))</f>
        <v>F4130</v>
      </c>
      <c r="E9" s="16" t="s">
        <v>20</v>
      </c>
      <c r="F9" s="16"/>
    </row>
    <row r="10" spans="1:11" x14ac:dyDescent="0.3">
      <c r="A10" t="s">
        <v>1805</v>
      </c>
      <c r="B10" t="str">
        <f>IF(C2=Hilfstabelle!K8,"+","=")</f>
        <v>=</v>
      </c>
      <c r="C10" t="str">
        <f>IF(C2=Hilfstabelle!K8,"sonstige betriebliche Aufwendungen","betriebliche Aufwendungen")</f>
        <v>betriebliche Aufwendungen</v>
      </c>
      <c r="D10" t="str">
        <f>IF(C10="betriebliche Aufwendungen",VLOOKUP("betrieb. Aufwendungen_N",Hilfstabelle!$C$1:$D$498,2,FALSE),VLOOKUP("sonst. Betr. Aufwendungen_N",Hilfstabelle!$C$1:$D$498,2,FALSE))</f>
        <v>F4110</v>
      </c>
      <c r="E10" s="16" t="s">
        <v>20</v>
      </c>
      <c r="F10" s="16"/>
    </row>
    <row r="11" spans="1:11" x14ac:dyDescent="0.3">
      <c r="A11" t="s">
        <v>1806</v>
      </c>
      <c r="B11" t="str">
        <f>IF(C2=Hilfstabelle!K8,"=","")</f>
        <v/>
      </c>
      <c r="C11" t="str">
        <f>IF(C2=Hilfstabelle!K8,"betriebliche Aufwendungen","Betriebsergebnis")</f>
        <v>Betriebsergebnis</v>
      </c>
      <c r="D11" t="str">
        <f>IF(C11="betriebliche Aufwendungen",VLOOKUP("betrieb. Aufwendungen_N",Hilfstabelle!$C$1:$D$498,2,FALSE),VLOOKUP("Betriebsergebnis_N",Hilfstabelle!$C$1:$D$498,2,FALSE))</f>
        <v>F9210</v>
      </c>
      <c r="E11" s="16" t="s">
        <v>20</v>
      </c>
      <c r="F11" s="16"/>
    </row>
    <row r="12" spans="1:11" x14ac:dyDescent="0.3">
      <c r="A12" t="s">
        <v>1807</v>
      </c>
      <c r="B12" t="str">
        <f>IF(C2=Hilfstabelle!K8,"","+")</f>
        <v>+</v>
      </c>
      <c r="C12" t="str">
        <f>IF(C2=Hilfstabelle!K8,"Betriebsergebnis","Finanzerträge")</f>
        <v>Finanzerträge</v>
      </c>
      <c r="D12" t="str">
        <f>IF(C12="Finanzerträge",VLOOKUP("Finanzerträge_N",Hilfstabelle!$C$1:$D$498,2,FALSE),VLOOKUP("Betriebsergebnis_N",Hilfstabelle!$C$1:$D$498,2,FALSE))</f>
        <v>F3022</v>
      </c>
      <c r="E12" s="16" t="s">
        <v>20</v>
      </c>
      <c r="F12" s="16"/>
    </row>
    <row r="13" spans="1:11" x14ac:dyDescent="0.3">
      <c r="A13" t="s">
        <v>1808</v>
      </c>
      <c r="B13" t="str">
        <f>IF(C2=Hilfstabelle!K8,"+","-")</f>
        <v>-</v>
      </c>
      <c r="C13" t="str">
        <f>IF(C2=Hilfstabelle!K8,"Finanzerträge","Finanzaufwendungen")</f>
        <v>Finanzaufwendungen</v>
      </c>
      <c r="D13" t="str">
        <f>IF(C13="Finanzerträge",VLOOKUP("Finanzerträge_N",Hilfstabelle!$C$1:$D$498,2,FALSE),VLOOKUP("Finanzaufwendungen_N",Hilfstabelle!$C$1:$D$498,2,FALSE))</f>
        <v>F4032</v>
      </c>
      <c r="E13" s="16" t="s">
        <v>20</v>
      </c>
      <c r="F13" s="16"/>
    </row>
    <row r="14" spans="1:11" x14ac:dyDescent="0.3">
      <c r="A14" t="s">
        <v>1809</v>
      </c>
      <c r="B14" t="str">
        <f>IF(C2=Hilfstabelle!K8,"-","")</f>
        <v/>
      </c>
      <c r="C14" s="8" t="str">
        <f>IF(C2=Hilfstabelle!K8,"Finanzaufwendungen","Gewinn vor Steuern")</f>
        <v>Gewinn vor Steuern</v>
      </c>
      <c r="D14" t="str">
        <f>IF(C14="Finanzaufwendungen",VLOOKUP("Finanzaufwendungen_N",Hilfstabelle!$C$1:$D$498,2,FALSE),VLOOKUP("Ergebnis vor Steuern_N",Hilfstabelle!$C$1:$D$498,2,FALSE))</f>
        <v>F9010</v>
      </c>
      <c r="E14" s="16" t="s">
        <v>20</v>
      </c>
      <c r="F14" s="16"/>
    </row>
    <row r="15" spans="1:11" x14ac:dyDescent="0.3">
      <c r="A15" t="str">
        <f>IF(C2=Hilfstabelle!K8,"12.","")</f>
        <v/>
      </c>
      <c r="C15" t="str">
        <f>IF(C2=Hilfstabelle!K8,"Gewinn vor Steuern","Arbeitswirtschaft")</f>
        <v>Arbeitswirtschaft</v>
      </c>
      <c r="D15" t="str">
        <f>IF(C15="Arbeitswirtschaft","",VLOOKUP("Ergebnis vor Steuern_N",Hilfstabelle!$C$1:$D$498,2,FALSE))</f>
        <v/>
      </c>
      <c r="E15" s="16" t="str">
        <f>IF(C15="Arbeitswirtschaft","","€")</f>
        <v/>
      </c>
      <c r="F15" s="16"/>
    </row>
    <row r="16" spans="1:11" x14ac:dyDescent="0.3">
      <c r="A16" t="str">
        <f>IF(C2=Hilfstabelle!K8,"","12.")</f>
        <v>12.</v>
      </c>
      <c r="C16" t="str">
        <f>IF(C2=Hilfstabelle!K8,"Arbeitswirtschaft","Arbeitskräfte insgesamt")</f>
        <v>Arbeitskräfte insgesamt</v>
      </c>
      <c r="D16" t="str">
        <f>IF(C16="Arbeitswirtschaft","",VLOOKUP("AK insg.",Hilfstabelle!$C$1:$D$498,2,FALSE))</f>
        <v>F1000</v>
      </c>
      <c r="E16" s="16" t="str">
        <f>IF(C16="Arbeitswirtschaft","","AK")</f>
        <v>AK</v>
      </c>
      <c r="F16" s="16"/>
    </row>
    <row r="17" spans="1:6" x14ac:dyDescent="0.3">
      <c r="A17" t="s">
        <v>1810</v>
      </c>
      <c r="C17" t="str">
        <f>IF(C2=Hilfstabelle!K8,"Arbeitskräfte insgesamt","Fremd-AK in % Gesamt-AK")</f>
        <v>Fremd-AK in % Gesamt-AK</v>
      </c>
      <c r="D17" t="str">
        <f>IF(C17="Arbeitskräfte insgesamt",VLOOKUP("AK insg.",Hilfstabelle!$C$1:$D$498,2,FALSE),VLOOKUP("Fremd-AK",Hilfstabelle!$C$1:$D$498,2,FALSE))&amp;"_"&amp;VLOOKUP("AK insg.",Hilfstabelle!$C$1:$D$498,2,FALSE)</f>
        <v>F1300_F1000</v>
      </c>
      <c r="E17" s="16" t="str">
        <f>IF(C2=Hilfstabelle!K8,"AK","%")</f>
        <v>%</v>
      </c>
      <c r="F17" s="16"/>
    </row>
    <row r="18" spans="1:6" x14ac:dyDescent="0.3">
      <c r="A18" t="s">
        <v>1811</v>
      </c>
      <c r="C18" t="str">
        <f>IF(C2=Hilfstabelle!K8,"Fremd-AK in % Gesamt-AK","Ständige-AK in % Gesamt-AK")</f>
        <v>Ständige-AK in % Gesamt-AK</v>
      </c>
      <c r="D18" t="str">
        <f>IF(C18="Ständige-AK in % Gesamt-AK",VLOOKUP("Ständige AK",Hilfstabelle!$C$1:$D$498,2,FALSE)&amp;"_"&amp;VLOOKUP("AK insg.",Hilfstabelle!$C$1:$D$498,2,FALSE),(VLOOKUP("Fremd-AK",Hilfstabelle!$C$1:$D$498,2,FALSE)&amp;"_"&amp;VLOOKUP("AK insg.",Hilfstabelle!$C$1:$D$498,2,FALSE)))</f>
        <v>F1200_F1000</v>
      </c>
      <c r="E18" s="16" t="s">
        <v>181</v>
      </c>
      <c r="F18" s="16"/>
    </row>
    <row r="19" spans="1:6" x14ac:dyDescent="0.3">
      <c r="A19" t="s">
        <v>1812</v>
      </c>
      <c r="C19" t="str">
        <f>IF(C2=Hilfstabelle!K8,"Ständige-AK in % Gesamt-AK",IF(C2=Hilfstabelle!K9," ",IF(OR(C2=Hilfstabelle!K2,C2=Hilfstabelle!K3,C2=Hilfstabelle!K7),"Glasfläche je AK","GG in ha je AK")))</f>
        <v>Glasfläche je AK</v>
      </c>
      <c r="D19" t="str">
        <f>IF(C19="GG in ha je AK",VLOOKUP("GG in ha",Hilfstabelle!$C$1:$D$498,2,FALSE)&amp;"_"&amp;VLOOKUP("AK insg.",Hilfstabelle!$C$1:$D$498,2,FALSE),IF(C19="Ständige-AK in % Gesamt-AK",VLOOKUP("Ständige AK",Hilfstabelle!$C$1:$D$498,2,FALSE)&amp;"_"&amp;VLOOKUP("AK insg.",Hilfstabelle!$C$1:$D$498,2,FALSE),(VLOOKUP("Glasfläche",Hilfstabelle!$C$1:$D$498,2,FALSE)&amp;"_"&amp;VLOOKUP("AK insg.",Hilfstabelle!$C$1:$D$498,2,FALSE))))</f>
        <v>F2400_F1000</v>
      </c>
      <c r="E19" s="16" t="str">
        <f>IF(C2=Hilfstabelle!K8,"%",IF(C2=Hilfstabelle!K9," ",IF(OR(C2=Hilfstabelle!K2,C2=Hilfstabelle!K3,C2=Hilfstabelle!K9,C2=Hilfstabelle!K7),"m²","ha")))</f>
        <v>m²</v>
      </c>
      <c r="F19" s="16"/>
    </row>
    <row r="20" spans="1:6" x14ac:dyDescent="0.3">
      <c r="A20" t="s">
        <v>1813</v>
      </c>
      <c r="C20" t="str">
        <f>IF(C2=Hilfstabelle!K8,"","Einheitsquadratmeter je AK")</f>
        <v>Einheitsquadratmeter je AK</v>
      </c>
      <c r="D20" t="str">
        <f>IF(C20="","",VLOOKUP("EQM",Hilfstabelle!$C$1:$D$498,2,FALSE)&amp;"_"&amp;VLOOKUP("AK insg.",Hilfstabelle!$C$1:$D$498,2,FALSE))</f>
        <v>F2800_F1000</v>
      </c>
      <c r="E20" s="16" t="str">
        <f>IF(C2=Hilfstabelle!K8,"","EQM")</f>
        <v>EQM</v>
      </c>
      <c r="F20" s="16"/>
    </row>
    <row r="21" spans="1:6" x14ac:dyDescent="0.3">
      <c r="A21" t="str">
        <f>IF(C2=Hilfstabelle!K8,"17.","")</f>
        <v/>
      </c>
      <c r="C21" t="str">
        <f>IF(C2=Hilfstabelle!K8,"","Betriebsflächen")</f>
        <v>Betriebsflächen</v>
      </c>
    </row>
    <row r="22" spans="1:6" x14ac:dyDescent="0.3">
      <c r="A22" t="str">
        <f>IF(C2=Hilfstabelle!K8,"","17.")</f>
        <v>17.</v>
      </c>
      <c r="C22" t="str">
        <f>IF(C2=Hilfstabelle!K8,"Betriebsflächen","Betriebsfläche (BF)")</f>
        <v>Betriebsfläche (BF)</v>
      </c>
      <c r="D22" t="str">
        <f>IF(C22="Betriebsflächen","",VLOOKUP("Betriebsfläche in ha",Hilfstabelle!$C$1:$D$498,2,FALSE))</f>
        <v>F2001</v>
      </c>
      <c r="E22" s="16" t="str">
        <f>IF(C2=Hilfstabelle!K8,"","ha")</f>
        <v>ha</v>
      </c>
      <c r="F22" s="16"/>
    </row>
    <row r="23" spans="1:6" x14ac:dyDescent="0.3">
      <c r="A23" t="s">
        <v>1814</v>
      </c>
      <c r="C23" t="str">
        <f>IF(C2=Hilfstabelle!K8,"",IF(OR(C2=Hilfstabelle!K2,C2=Hilfstabelle!K3,C2=Hilfstabelle!K9,C2=Hilfstabelle!K7),"Glasfläche (GF)","Landwirtschaftlich genutzte Fläche (LF)"))</f>
        <v>Glasfläche (GF)</v>
      </c>
      <c r="D23" t="str">
        <f>IF(C23="Glasfläche (GF)",VLOOKUP("Glasfläche",Hilfstabelle!$C$1:$D$498,2,FALSE),IF(C23="","",VLOOKUP("Fläche LW in ha",Hilfstabelle!$C$1:$D$498,2,FALSE)))</f>
        <v>F2400</v>
      </c>
      <c r="E23" s="16" t="str">
        <f>IF(C2=Hilfstabelle!K8,"",IF(OR(C2=Hilfstabelle!K2,C2=Hilfstabelle!K3,C2=Hilfstabelle!K9,C2=Hilfstabelle!K7),"m²","ha"))</f>
        <v>m²</v>
      </c>
      <c r="F23" s="16"/>
    </row>
    <row r="24" spans="1:6" x14ac:dyDescent="0.3">
      <c r="A24" t="s">
        <v>1815</v>
      </c>
      <c r="C24" t="str">
        <f>IF(C2=Hilfstabelle!K8,"","Einheitsquadratmeter")</f>
        <v>Einheitsquadratmeter</v>
      </c>
      <c r="D24" t="str">
        <f>IF(C24="","",VLOOKUP("EQM",Hilfstabelle!$C$1:$D$498,2,FALSE))</f>
        <v>F2800</v>
      </c>
      <c r="E24" s="16" t="str">
        <f>IF(C2=Hilfstabelle!K8,"","EQM")</f>
        <v>EQM</v>
      </c>
      <c r="F24" s="16"/>
    </row>
    <row r="25" spans="1:6" x14ac:dyDescent="0.3">
      <c r="A25" t="s">
        <v>1816</v>
      </c>
      <c r="C25" t="str">
        <f>IF(C2=Hilfstabelle!K8,"","GG in % der Betriebsfläche")</f>
        <v>GG in % der Betriebsfläche</v>
      </c>
      <c r="D25" t="str">
        <f>IF(C25="","",VLOOKUP("GG",Hilfstabelle!$C$1:$D$498,2,FALSE)&amp;"_"&amp;VLOOKUP("Betriebsfläche",Hilfstabelle!$C$1:$D$498,2,FALSE))</f>
        <v>F2200_F2000</v>
      </c>
      <c r="E25" s="16" t="str">
        <f>IF(C2=Hilfstabelle!K8,"","% BF")</f>
        <v>% BF</v>
      </c>
      <c r="F25" s="16"/>
    </row>
    <row r="26" spans="1:6" x14ac:dyDescent="0.3">
      <c r="A26" t="s">
        <v>1817</v>
      </c>
      <c r="C26" t="str">
        <f>IF(C2=Hilfstabelle!K8,"","Pachtfläche in % der Betriebsfläche")</f>
        <v>Pachtfläche in % der Betriebsfläche</v>
      </c>
      <c r="D26" t="str">
        <f>IF(C26="","",VLOOKUP("Summe Pachtflächen",Hilfstabelle!$C$1:$D$498,2,FALSE)&amp;"_"&amp;VLOOKUP("Betriebsfläche",Hilfstabelle!$C$1:$D$498,2,FALSE))</f>
        <v>F2110_F2000</v>
      </c>
      <c r="E26" s="16" t="str">
        <f>IF(C2=Hilfstabelle!K8,"","% BF")</f>
        <v>% BF</v>
      </c>
      <c r="F26" s="16"/>
    </row>
    <row r="27" spans="1:6" x14ac:dyDescent="0.3">
      <c r="A27" t="s">
        <v>1818</v>
      </c>
      <c r="C27" t="str">
        <f>IF(C2=Hilfstabelle!K8,"",IF(OR(C2=Hilfstabelle!K2,C2=Hilfstabelle!K3,C2=Hilfstabelle!K9,C2=Hilfstabelle!K7),"Heizbare Glasfläche in % der Glasfl.","Fläche landw. Kulturen in % der BF"))</f>
        <v>Heizbare Glasfläche in % der Glasfl.</v>
      </c>
      <c r="D27" t="str">
        <f>IF(C27="","",IF(C27="Fläche landw. Kulturen in % der BF",VLOOKUP("Fläche LW in m²",Hilfstabelle!$C$1:$D$498,2,FALSE)&amp;"_"&amp;VLOOKUP("Betriebsfläche",Hilfstabelle!$C$1:$D$498,2,FALSE),VLOOKUP("Heizbare Glasfläche",Hilfstabelle!$C$1:$D$498,2,FALSE)&amp;"_"&amp;VLOOKUP("Betriebsfläche",Hilfstabelle!$C$1:$D$498,2,FALSE)))</f>
        <v>F2420_F2000</v>
      </c>
      <c r="E27" s="16" t="str">
        <f>IF(C2=Hilfstabelle!K8,"",IF(OR(C2=Hilfstabelle!K2,C2=Hilfstabelle!K3,C2=Hilfstabelle!K9,C2=Hilfstabelle!K7),"%GF","%BF"))</f>
        <v>%GF</v>
      </c>
      <c r="F27" s="16"/>
    </row>
    <row r="28" spans="1:6" x14ac:dyDescent="0.3">
      <c r="C28" t="s">
        <v>1819</v>
      </c>
    </row>
    <row r="29" spans="1:6" x14ac:dyDescent="0.3">
      <c r="A29" t="s">
        <v>1820</v>
      </c>
      <c r="C29" t="s">
        <v>1821</v>
      </c>
      <c r="D29" t="str">
        <f>VLOOKUP("Vermögen lt. Bilanz",Hilfstabelle!$C$1:$D$498,2,FALSE)</f>
        <v>F5100</v>
      </c>
      <c r="E29" s="16" t="s">
        <v>20</v>
      </c>
      <c r="F29" s="16"/>
    </row>
    <row r="30" spans="1:6" x14ac:dyDescent="0.3">
      <c r="A30" t="s">
        <v>1822</v>
      </c>
      <c r="C30" t="s">
        <v>1823</v>
      </c>
      <c r="D30" t="str">
        <f>VLOOKUP("Vermögen",Hilfstabelle!$C$1:$D$498,2,FALSE)</f>
        <v>F5130</v>
      </c>
      <c r="E30" s="16" t="s">
        <v>20</v>
      </c>
      <c r="F30" s="16"/>
    </row>
    <row r="31" spans="1:6" x14ac:dyDescent="0.3">
      <c r="A31" t="s">
        <v>1824</v>
      </c>
      <c r="C31" t="s">
        <v>1825</v>
      </c>
      <c r="D31" t="str">
        <f>VLOOKUP("Kalk. Bodenwert",Hilfstabelle!$C$1:$D$498,2,FALSE)&amp;"_"&amp;VLOOKUP("Vermögen",Hilfstabelle!$C$1:$D$498,2,FALSE)</f>
        <v>F5520_F5130</v>
      </c>
      <c r="E31" s="16" t="s">
        <v>181</v>
      </c>
      <c r="F31" s="16"/>
    </row>
    <row r="32" spans="1:6" x14ac:dyDescent="0.3">
      <c r="A32" t="s">
        <v>1826</v>
      </c>
      <c r="C32" t="s">
        <v>1827</v>
      </c>
      <c r="D32" t="str">
        <f>VLOOKUP("Anlagevermögen ohne Boden",Hilfstabelle!$C$1:$D$498,2,FALSE)&amp;"_"&amp;VLOOKUP("Vermögen",Hilfstabelle!$C$1:$D$498,2,FALSE)</f>
        <v>F5220_F5130</v>
      </c>
      <c r="E32" s="16" t="s">
        <v>181</v>
      </c>
      <c r="F32" s="16"/>
    </row>
    <row r="33" spans="1:6" x14ac:dyDescent="0.3">
      <c r="A33" t="s">
        <v>1828</v>
      </c>
      <c r="C33" t="s">
        <v>1829</v>
      </c>
      <c r="D33" t="str">
        <f>VLOOKUP("Umlaufvermögen lt. Bilanz",Hilfstabelle!$C$1:$D$498,2,FALSE)&amp;"_"&amp;VLOOKUP("Vermögen",Hilfstabelle!$C$1:$D$498,2,FALSE)</f>
        <v>F5300_F5130</v>
      </c>
      <c r="E33" s="16" t="s">
        <v>181</v>
      </c>
      <c r="F33" s="16"/>
    </row>
    <row r="34" spans="1:6" x14ac:dyDescent="0.3">
      <c r="A34" t="s">
        <v>1830</v>
      </c>
      <c r="C34" t="s">
        <v>1831</v>
      </c>
      <c r="D34" t="str">
        <f>VLOOKUP("FK",Hilfstabelle!$C$1:$D$498,2,FALSE)</f>
        <v>F6200</v>
      </c>
      <c r="E34" s="16" t="s">
        <v>20</v>
      </c>
      <c r="F34" s="16"/>
    </row>
    <row r="35" spans="1:6" x14ac:dyDescent="0.3">
      <c r="A35" t="s">
        <v>1832</v>
      </c>
      <c r="C35" t="s">
        <v>1833</v>
      </c>
      <c r="D35" t="str">
        <f>VLOOKUP("FK",Hilfstabelle!$C$1:$D$498,2,FALSE)&amp;"_"&amp;VLOOKUP("Vermögen",Hilfstabelle!$C$1:$D$498,2,FALSE)</f>
        <v>F6200_F5130</v>
      </c>
      <c r="E35" s="16" t="s">
        <v>181</v>
      </c>
      <c r="F35" s="16"/>
    </row>
    <row r="36" spans="1:6" x14ac:dyDescent="0.3">
      <c r="A36" t="s">
        <v>1834</v>
      </c>
      <c r="C36" t="s">
        <v>1835</v>
      </c>
      <c r="D36" t="str">
        <f>VLOOKUP("Kurzfristiges FK",Hilfstabelle!$C$1:$D$498,2,FALSE)&amp;"_"&amp;VLOOKUP("FK",Hilfstabelle!$C$1:$D$498,2,FALSE)</f>
        <v>F6210_F6200</v>
      </c>
      <c r="E36" s="16" t="s">
        <v>181</v>
      </c>
      <c r="F36" s="16"/>
    </row>
    <row r="37" spans="1:6" x14ac:dyDescent="0.3">
      <c r="A37" t="s">
        <v>1836</v>
      </c>
      <c r="C37" t="s">
        <v>778</v>
      </c>
      <c r="D37" t="str">
        <f>VLOOKUP("Dynamischer Verschuldungsgrad_N",Hilfstabelle!$C$1:$D$498,2,FALSE)</f>
        <v>F9540</v>
      </c>
      <c r="E37" s="16" t="s">
        <v>1837</v>
      </c>
      <c r="F37" s="16"/>
    </row>
    <row r="38" spans="1:6" x14ac:dyDescent="0.3">
      <c r="A38" t="s">
        <v>1838</v>
      </c>
      <c r="C38" t="s">
        <v>1839</v>
      </c>
      <c r="D38" t="str">
        <f>VLOOKUP("Vermögen",Hilfstabelle!$C$1:$D$498,2,FALSE)&amp;"_"&amp;VLOOKUP("AK insg.",Hilfstabelle!$C$1:$D$498,2,FALSE)</f>
        <v>F5130_F1000</v>
      </c>
      <c r="E38" s="16" t="s">
        <v>20</v>
      </c>
      <c r="F38" s="16"/>
    </row>
    <row r="39" spans="1:6" x14ac:dyDescent="0.3">
      <c r="A39" t="s">
        <v>1840</v>
      </c>
      <c r="C39" t="str">
        <f>IF(OR(C2=Hilfstabelle!K2,C2=Hilfstabelle!K3,C2=Hilfstabelle!K7),"Gewächshausanlagen/m² Glasfläche","")</f>
        <v>Gewächshausanlagen/m² Glasfläche</v>
      </c>
      <c r="D39" t="str">
        <f>IF(C39="","",VLOOKUP("Gewächshäuser lt. Bilanz",Hilfstabelle!$C$1:$D$499,2,FALSE)&amp;"_"&amp;VLOOKUP("Glasfläche",Hilfstabelle!$C$1:$D$499,2,FALSE))</f>
        <v>F5253_F2400</v>
      </c>
      <c r="E39" s="16" t="str">
        <f>IF(OR(C2=Hilfstabelle!K2,C2=Hilfstabelle!K3,C2=Hilfstabelle!K7),"€"," ")</f>
        <v>€</v>
      </c>
      <c r="F39" s="16"/>
    </row>
    <row r="40" spans="1:6" x14ac:dyDescent="0.3">
      <c r="A40" t="s">
        <v>1841</v>
      </c>
      <c r="C40" t="s">
        <v>1842</v>
      </c>
      <c r="D40" t="str">
        <f>VLOOKUP("Maschinen+Fuhrpark",Hilfstabelle!$C$1:$D$498,2,FALSE)&amp;"_"&amp;VLOOKUP("AK insg.",Hilfstabelle!$C$1:$D$499,2,FALSE)</f>
        <v>F5250_F1000</v>
      </c>
      <c r="E40" s="16" t="s">
        <v>20</v>
      </c>
      <c r="F40" s="16"/>
    </row>
    <row r="41" spans="1:6" x14ac:dyDescent="0.3">
      <c r="A41" t="s">
        <v>1843</v>
      </c>
      <c r="C41" t="s">
        <v>767</v>
      </c>
      <c r="D41" t="str">
        <f>VLOOKUP("Reinertrag des Unternehmens_N",Hilfstabelle!$C$1:$D$498,2,FALSE)</f>
        <v>F9200</v>
      </c>
      <c r="E41" s="16" t="s">
        <v>20</v>
      </c>
      <c r="F41" s="16"/>
    </row>
    <row r="42" spans="1:6" x14ac:dyDescent="0.3">
      <c r="C42" t="s">
        <v>1844</v>
      </c>
    </row>
    <row r="43" spans="1:6" x14ac:dyDescent="0.3">
      <c r="A43" t="s">
        <v>1845</v>
      </c>
      <c r="C43" t="s">
        <v>1846</v>
      </c>
      <c r="D43" t="str">
        <f>VLOOKUP("Bruttoinvestitionen",Hilfstabelle!$C$1:$D$498,2,FALSE)&amp;"_"&amp;VLOOKUP("AK insg.",Hilfstabelle!$C$1:$D$499,2,FALSE)</f>
        <v>F5401_F1000</v>
      </c>
      <c r="E43" s="16" t="s">
        <v>20</v>
      </c>
      <c r="F43" s="16"/>
    </row>
    <row r="44" spans="1:6" x14ac:dyDescent="0.3">
      <c r="A44" t="s">
        <v>1847</v>
      </c>
      <c r="C44" t="s">
        <v>1848</v>
      </c>
      <c r="D44" t="str">
        <f>VLOOKUP("Nettoinvestitionen",Hilfstabelle!$C$1:$D$498,2,FALSE)&amp;"_"&amp;VLOOKUP("AK insg.",Hilfstabelle!$C$1:$D$499,2,FALSE)</f>
        <v>F9550_F1000</v>
      </c>
      <c r="E44" s="16" t="s">
        <v>20</v>
      </c>
      <c r="F44" s="16"/>
    </row>
    <row r="45" spans="1:6" x14ac:dyDescent="0.3">
      <c r="C45" t="s">
        <v>1</v>
      </c>
    </row>
    <row r="46" spans="1:6" x14ac:dyDescent="0.3">
      <c r="A46" t="s">
        <v>1849</v>
      </c>
      <c r="C46" t="s">
        <v>1850</v>
      </c>
      <c r="D46" t="str">
        <f>VLOOKUP("BErtrag",Hilfstabelle!$C$1:$D$498,2,FALSE)</f>
        <v>F3100</v>
      </c>
      <c r="E46" s="16" t="s">
        <v>20</v>
      </c>
      <c r="F46" s="16"/>
    </row>
    <row r="47" spans="1:6" x14ac:dyDescent="0.3">
      <c r="A47" t="s">
        <v>1851</v>
      </c>
      <c r="C47" t="s">
        <v>736</v>
      </c>
      <c r="D47" t="str">
        <f>VLOOKUP("bereinigter Betriebsertrag",Hilfstabelle!$C$1:$D$498,2,FALSE)</f>
        <v>F9300</v>
      </c>
      <c r="E47" s="16" t="s">
        <v>20</v>
      </c>
      <c r="F47" s="16"/>
    </row>
    <row r="48" spans="1:6" x14ac:dyDescent="0.3">
      <c r="A48" t="s">
        <v>1852</v>
      </c>
      <c r="C48" t="s">
        <v>1853</v>
      </c>
      <c r="D48" t="str">
        <f>VLOOKUP("Ertrag Eigenproduktion",Hilfstabelle!$C$1:$D$498,2,FALSE)&amp;"_"&amp;VLOOKUP("BErtrag",Hilfstabelle!$C$1:$D$499,2,FALSE)</f>
        <v>F3310_F3100</v>
      </c>
      <c r="E48" s="16" t="s">
        <v>1854</v>
      </c>
      <c r="F48" s="16"/>
    </row>
    <row r="49" spans="1:6" x14ac:dyDescent="0.3">
      <c r="A49" t="s">
        <v>1855</v>
      </c>
      <c r="C49" t="s">
        <v>1856</v>
      </c>
      <c r="D49" t="str">
        <f>VLOOKUP("E-Handelsware",Hilfstabelle!$C$1:$D$498,2,FALSE)&amp;"_"&amp;VLOOKUP("BErtrag",Hilfstabelle!$C$1:$D$499,2,FALSE)</f>
        <v>F3260_F3100</v>
      </c>
      <c r="E49" s="16" t="s">
        <v>1854</v>
      </c>
      <c r="F49" s="16"/>
    </row>
    <row r="50" spans="1:6" x14ac:dyDescent="0.3">
      <c r="A50" t="s">
        <v>1857</v>
      </c>
      <c r="C50" t="s">
        <v>1858</v>
      </c>
      <c r="D50" t="str">
        <f>VLOOKUP("Ertrag Dienstleistung",Hilfstabelle!$C$1:$D$498,2,FALSE)&amp;"_"&amp;VLOOKUP("BErtrag",Hilfstabelle!$C$1:$D$499,2,FALSE)</f>
        <v>F3270_F3100</v>
      </c>
      <c r="E50" s="16" t="s">
        <v>1854</v>
      </c>
      <c r="F50" s="16"/>
    </row>
    <row r="51" spans="1:6" x14ac:dyDescent="0.3">
      <c r="A51" t="s">
        <v>1859</v>
      </c>
      <c r="C51" t="s">
        <v>1860</v>
      </c>
      <c r="D51" t="str">
        <f>VLOOKUP("Sonst. BE",Hilfstabelle!$C$1:$D$498,2,FALSE)&amp;"_"&amp;VLOOKUP("BErtrag",Hilfstabelle!$C$1:$D$499,2,FALSE)</f>
        <v>F3110_F3100</v>
      </c>
      <c r="E51" s="16" t="s">
        <v>1854</v>
      </c>
      <c r="F51" s="16"/>
    </row>
    <row r="52" spans="1:6" x14ac:dyDescent="0.3">
      <c r="C52" t="s">
        <v>11</v>
      </c>
    </row>
    <row r="53" spans="1:6" x14ac:dyDescent="0.3">
      <c r="A53" t="s">
        <v>1861</v>
      </c>
      <c r="C53" t="s">
        <v>349</v>
      </c>
      <c r="D53" t="str">
        <f>VLOOKUP("BA",Hilfstabelle!$C$1:$D$498,2,FALSE)</f>
        <v>F4100</v>
      </c>
      <c r="E53" s="16" t="s">
        <v>20</v>
      </c>
      <c r="F53" s="16"/>
    </row>
    <row r="54" spans="1:6" x14ac:dyDescent="0.3">
      <c r="A54" t="s">
        <v>1862</v>
      </c>
      <c r="B54" t="s">
        <v>1798</v>
      </c>
      <c r="C54" s="11" t="s">
        <v>519</v>
      </c>
      <c r="D54" t="str">
        <f>VLOOKUP("kalk. Lohnansatz",Hilfstabelle!$C$1:$D$498,2,FALSE)</f>
        <v>F4710</v>
      </c>
      <c r="E54" s="16" t="s">
        <v>20</v>
      </c>
      <c r="F54" s="16"/>
    </row>
    <row r="55" spans="1:6" x14ac:dyDescent="0.3">
      <c r="A55" t="s">
        <v>1863</v>
      </c>
      <c r="B55" t="s">
        <v>1801</v>
      </c>
      <c r="C55" t="s">
        <v>355</v>
      </c>
      <c r="D55" t="str">
        <f>VLOOKUP("Lohnquote",Hilfstabelle!$C$1:$D$498,2,FALSE)</f>
        <v>F4711</v>
      </c>
      <c r="E55" s="16" t="s">
        <v>20</v>
      </c>
      <c r="F55" s="16"/>
    </row>
    <row r="56" spans="1:6" x14ac:dyDescent="0.3">
      <c r="C56" t="s">
        <v>1864</v>
      </c>
    </row>
    <row r="57" spans="1:6" x14ac:dyDescent="0.3">
      <c r="A57" t="s">
        <v>1865</v>
      </c>
      <c r="C57" t="s">
        <v>1866</v>
      </c>
      <c r="D57" t="str">
        <f>VLOOKUP("SpezialA Eigenproduktion",Hilfstabelle!$C$1:$D$498,2,FALSE)&amp;"_"&amp;VLOOKUP("BErtrag",Hilfstabelle!$C$1:$D$499,2,FALSE)</f>
        <v>F4310_F3100</v>
      </c>
      <c r="E57" s="16" t="s">
        <v>1854</v>
      </c>
      <c r="F57" s="16"/>
    </row>
    <row r="58" spans="1:6" x14ac:dyDescent="0.3">
      <c r="A58" t="s">
        <v>1867</v>
      </c>
      <c r="C58" t="s">
        <v>1868</v>
      </c>
      <c r="D58" t="str">
        <f>VLOOKUP("SaatundPflanzgut",Hilfstabelle!$C$1:$D$498,2,FALSE)&amp;"_"&amp;VLOOKUP("BErtrag",Hilfstabelle!$C$1:$D$499,2,FALSE)</f>
        <v>F4318_F3100</v>
      </c>
      <c r="E58" s="16" t="s">
        <v>1854</v>
      </c>
      <c r="F58" s="16"/>
    </row>
    <row r="59" spans="1:6" x14ac:dyDescent="0.3">
      <c r="A59" t="s">
        <v>1869</v>
      </c>
      <c r="C59" t="s">
        <v>1870</v>
      </c>
      <c r="D59" t="str">
        <f>VLOOKUP("Dünger+Pflanzenschutz",Hilfstabelle!$C$1:$D$498,2,FALSE)&amp;"_"&amp;VLOOKUP("BErtrag",Hilfstabelle!$C$1:$D$499,2,FALSE)</f>
        <v>F4315_F3100</v>
      </c>
      <c r="E59" s="16" t="s">
        <v>1854</v>
      </c>
      <c r="F59" s="16"/>
    </row>
    <row r="60" spans="1:6" x14ac:dyDescent="0.3">
      <c r="A60" t="s">
        <v>1871</v>
      </c>
      <c r="C60" t="str">
        <f>IF(C2=Hilfstabelle!K8,"Töpfe, Substrate, Verpackung in %BE",IF(OR(C2=Hilfstabelle!K2,C2=Hilfstabelle!K3,C2=Hilfstabelle!K7),"Heizmaterial in %BE",""))</f>
        <v>Heizmaterial in %BE</v>
      </c>
      <c r="D60" t="str">
        <f>IF(C60="","",IF(C60="Heizmaterial in %BE",VLOOKUP("Heizmaterial",Hilfstabelle!$C$1:$D$498,2,FALSE)&amp;"_"&amp;VLOOKUP("BErtrag",Hilfstabelle!$C$1:$D$499,2,FALSE),VLOOKUP("Spez.Aufw. KG.Substr.Verp. ",Hilfstabelle!$C$1:$D$498,2,FALSE)&amp;"_"&amp;VLOOKUP("BErtrag",Hilfstabelle!$C$1:$D$499,2,FALSE)))</f>
        <v>F4328_F3100</v>
      </c>
      <c r="E60" s="16" t="str">
        <f>IF(OR(C2=Hilfstabelle!K2,C2=Hilfstabelle!K3,C2=Hilfstabelle!K8,C2=Hilfstabelle!K7),"%BE"," ")</f>
        <v>%BE</v>
      </c>
      <c r="F60" s="16"/>
    </row>
    <row r="61" spans="1:6" x14ac:dyDescent="0.3">
      <c r="A61" t="s">
        <v>1872</v>
      </c>
      <c r="B61" t="str">
        <f>IF(C2=Hilfstabelle!K8,"+","")</f>
        <v/>
      </c>
      <c r="C61" t="str">
        <f>IF(C2=Hilfstabelle!K8,"Spezialaufwand Handel in %BE","Töpfe, Substrate, Verpackung in %BE")</f>
        <v>Töpfe, Substrate, Verpackung in %BE</v>
      </c>
      <c r="D61" t="str">
        <f>IF(C61="Substrate, Verpackung in %BE",VLOOKUP("Spez.Aufw. KG.Substr.Verp. ",Hilfstabelle!$C$1:$D$498,2,FALSE)&amp;"_"&amp;VLOOKUP("BErtrag",Hilfstabelle!$C$1:$D$499,2,FALSE),VLOOKUP("SpezialA Handel",Hilfstabelle!$C$1:$D$498,2,FALSE)&amp;"_"&amp;VLOOKUP("BErtrag",Hilfstabelle!$C$1:$D$499,2,FALSE))</f>
        <v>F4360_F3100</v>
      </c>
      <c r="E61" s="16" t="s">
        <v>1854</v>
      </c>
      <c r="F61" s="16"/>
    </row>
    <row r="62" spans="1:6" x14ac:dyDescent="0.3">
      <c r="A62" t="s">
        <v>1873</v>
      </c>
      <c r="B62" t="s">
        <v>1798</v>
      </c>
      <c r="C62" t="str">
        <f>IF(C2=Hilfstabelle!K8,"Spezialaufwand Dienstleistung in %BE","Spezialaufwand Handel in %BE")</f>
        <v>Spezialaufwand Handel in %BE</v>
      </c>
      <c r="D62" t="str">
        <f>IF(C62="Spezialaufwand Dienstleistung in %BE",VLOOKUP("SpezialA Dienstleistung",Hilfstabelle!$C$1:$D$498,2,FALSE)&amp;"_"&amp;VLOOKUP("BErtrag",Hilfstabelle!$C$1:$D$499,2,FALSE),VLOOKUP("SpezialA Handel",Hilfstabelle!$C$1:$D$498,2,FALSE)&amp;"_"&amp;VLOOKUP("BErtrag",Hilfstabelle!$C$1:$D$499,2,FALSE))</f>
        <v>F4360_F3100</v>
      </c>
      <c r="E62" s="16" t="s">
        <v>1854</v>
      </c>
      <c r="F62" s="16"/>
    </row>
    <row r="63" spans="1:6" x14ac:dyDescent="0.3">
      <c r="A63" t="s">
        <v>1874</v>
      </c>
      <c r="B63" t="str">
        <f>IF(C2=Hilfstabelle!K8,"","+")</f>
        <v>+</v>
      </c>
      <c r="C63" t="str">
        <f>IF(C2=Hilfstabelle!K8,"Wareneinsatz Pflanzen in %BE","Spezialaufwand Dienstleistung in %BE")</f>
        <v>Spezialaufwand Dienstleistung in %BE</v>
      </c>
      <c r="D63" t="str">
        <f>IF(C63="Spezialaufwand Dienstleistung in %BE",VLOOKUP("SpezialA Dienstleistung",Hilfstabelle!$C$1:$D$498,2,FALSE)&amp;"_"&amp;VLOOKUP("BErtrag",Hilfstabelle!$C$1:$D$499,2,FALSE),VLOOKUP("Pflanzmaterial",Hilfstabelle!$C$1:$D$498,2,FALSE)&amp;"_"&amp;VLOOKUP("BErtrag",Hilfstabelle!$C$1:$D$499,2,FALSE))</f>
        <v>F4370_F3100</v>
      </c>
      <c r="E63" s="16" t="s">
        <v>1854</v>
      </c>
      <c r="F63" s="16"/>
    </row>
    <row r="64" spans="1:6" x14ac:dyDescent="0.3">
      <c r="A64" t="s">
        <v>1875</v>
      </c>
      <c r="B64" t="str">
        <f>IF(C2=Hilfstabelle!K8,"","+")</f>
        <v>+</v>
      </c>
      <c r="C64" t="str">
        <f>IF(C2=Hilfstabelle!K8,"Wareneinsatz Material in %BE","Allgemeiner Betriebsaufwand in %BE")</f>
        <v>Allgemeiner Betriebsaufwand in %BE</v>
      </c>
      <c r="D64" t="str">
        <f>IF(C64="Wareneinsatz Material in %BE",VLOOKUP("Sonstiger Materialaufwand",Hilfstabelle!$C$1:$D$498,2,FALSE)&amp;"_"&amp;VLOOKUP("BErtrag",Hilfstabelle!$C$1:$D$499,2,FALSE),VLOOKUP("Allgemeiner BA",Hilfstabelle!$C$1:$D$498,2,FALSE)&amp;"_"&amp;VLOOKUP("BErtrag",Hilfstabelle!$C$1:$D$499,2,FALSE))</f>
        <v>F4500_F3100</v>
      </c>
      <c r="E64" s="16" t="s">
        <v>1854</v>
      </c>
      <c r="F64" s="16"/>
    </row>
    <row r="65" spans="1:6" x14ac:dyDescent="0.3">
      <c r="A65" t="s">
        <v>1876</v>
      </c>
      <c r="C65" t="str">
        <f>IF(C2=Hilfstabelle!K8,"Mieten bewegl. WG (Fahrzeuge etc.) in %BE","Abschreibung in %BE")</f>
        <v>Abschreibung in %BE</v>
      </c>
      <c r="D65" t="str">
        <f>IF(C65="Abschreibung in %BE",VLOOKUP("AFA",Hilfstabelle!$C$1:$D$498,2,FALSE)&amp;"_"&amp;VLOOKUP("BErtrag",Hilfstabelle!$C$1:$D$499,2,FALSE),VLOOKUP("Leasing (KFZ+sonst)",Hilfstabelle!$C$1:$D$498,2,FALSE)&amp;"_"&amp;VLOOKUP("BErtrag",Hilfstabelle!$C$1:$D$499,2,FALSE))</f>
        <v>F4625_F3100</v>
      </c>
      <c r="E65" s="16" t="s">
        <v>1854</v>
      </c>
      <c r="F65" s="16"/>
    </row>
    <row r="66" spans="1:6" x14ac:dyDescent="0.3">
      <c r="A66" t="s">
        <v>1877</v>
      </c>
      <c r="C66" t="str">
        <f>IF(C2=Hilfstabelle!K8,"Bezogene Leistungen in %BE","Aufwand Fuhrpark in %BE")</f>
        <v>Aufwand Fuhrpark in %BE</v>
      </c>
      <c r="D66" t="str">
        <f>IF(C66="Bezogene Leistungen in %BE",VLOOKUP("Fremdleistung",Hilfstabelle!$C$1:$D$498,2,FALSE)&amp;"_"&amp;VLOOKUP("BErtrag",Hilfstabelle!$C$1:$D$499,2,FALSE),VLOOKUP("Unterhaltung Fuhrpark",Hilfstabelle!$C$1:$D$498,2,FALSE)&amp;"_"&amp;VLOOKUP("BErtrag",Hilfstabelle!$C$1:$D$499,2,FALSE))</f>
        <v>F4520_F3100</v>
      </c>
      <c r="E66" s="16" t="s">
        <v>1854</v>
      </c>
      <c r="F66" s="16"/>
    </row>
    <row r="67" spans="1:6" x14ac:dyDescent="0.3">
      <c r="A67" t="s">
        <v>1878</v>
      </c>
      <c r="B67" t="str">
        <f>IF(C2=Hilfstabelle!K8,"+","")</f>
        <v/>
      </c>
      <c r="C67" t="str">
        <f>IF(C2=Hilfstabelle!K8,"Allgemeiner Betriebsaufwand in %BE","Unterhaltungsaufwand in %BE")</f>
        <v>Unterhaltungsaufwand in %BE</v>
      </c>
      <c r="D67" t="str">
        <f>IF(C67="Unterhaltungsaufwand in %BE",VLOOKUP("Unterhaltungsaufwand",Hilfstabelle!$C$1:$D$498,2,FALSE)&amp;"_"&amp;VLOOKUP("BErtrag",Hilfstabelle!$C$1:$D$499,2,FALSE),VLOOKUP("Allgemeiner BA",Hilfstabelle!$C$1:$D$498,2,FALSE)&amp;"_"&amp;VLOOKUP("BErtrag",Hilfstabelle!$C$1:$D$499,2,FALSE))</f>
        <v>F4510_F3100</v>
      </c>
      <c r="E67" s="16" t="s">
        <v>1854</v>
      </c>
      <c r="F67" s="16"/>
    </row>
    <row r="68" spans="1:6" x14ac:dyDescent="0.3">
      <c r="A68" t="s">
        <v>1879</v>
      </c>
      <c r="C68" t="str">
        <f>IF(C2=Hilfstabelle!K8,"Abschreibung in %BE","Vermarktungsaufwand in %BE")</f>
        <v>Vermarktungsaufwand in %BE</v>
      </c>
      <c r="D68" t="str">
        <f>IF(C68="Vermarktungsaufwand in %BE",VLOOKUP("Vermarktungsaufwand",Hilfstabelle!$C$1:$D$498,2,FALSE)&amp;"_"&amp;VLOOKUP("BErtrag",Hilfstabelle!$C$1:$D$499,2,FALSE),VLOOKUP("AFA",Hilfstabelle!$C$1:$D$498,2,FALSE)&amp;"_"&amp;VLOOKUP("BErtrag",Hilfstabelle!$C$1:$D$499,2,FALSE))</f>
        <v>F4530_F3100</v>
      </c>
      <c r="E68" s="16" t="s">
        <v>1854</v>
      </c>
      <c r="F68" s="16"/>
    </row>
    <row r="69" spans="1:6" x14ac:dyDescent="0.3">
      <c r="A69" t="s">
        <v>1880</v>
      </c>
      <c r="B69" t="str">
        <f>IF(C2=Hilfstabelle!K8,"","+")</f>
        <v>+</v>
      </c>
      <c r="C69" t="str">
        <f>IF(C2=Hilfstabelle!K8,"Aufwand Fuhrpark in %BE","Lohnaufwand in %BE")</f>
        <v>Lohnaufwand in %BE</v>
      </c>
      <c r="D69" t="str">
        <f>IF(C69="Lohnaufwand in %BE",VLOOKUP("Lohnaufwand",Hilfstabelle!$C$1:$D$498,2,FALSE)&amp;"_"&amp;VLOOKUP("BErtrag",Hilfstabelle!$C$1:$D$499,2,FALSE),VLOOKUP("Unterhaltung Fuhrpark",Hilfstabelle!$C$1:$D$498,2,FALSE)&amp;"_"&amp;VLOOKUP("BErtrag",Hilfstabelle!$C$1:$D$499,2,FALSE))</f>
        <v>F4400_F3100</v>
      </c>
      <c r="E69" s="16" t="s">
        <v>1854</v>
      </c>
      <c r="F69" s="16"/>
    </row>
    <row r="70" spans="1:6" x14ac:dyDescent="0.3">
      <c r="A70" t="s">
        <v>1881</v>
      </c>
      <c r="B70" t="str">
        <f>IF(C2=Hilfstabelle!K8,"","+")</f>
        <v>+</v>
      </c>
      <c r="C70" t="str">
        <f>IF(C2=Hilfstabelle!K8,"Unterhaltungsaufwand in %BE","Lohnansatz für Familien-AK in %BE")</f>
        <v>Lohnansatz für Familien-AK in %BE</v>
      </c>
      <c r="D70" t="str">
        <f>IF(C70="Lohnansatz für Familien-AK in %BE",VLOOKUP("Kalk. Lohnansatz",Hilfstabelle!$C$1:$D$498,2,FALSE)&amp;"_"&amp;VLOOKUP("BErtrag",Hilfstabelle!$C$1:$D$499,2,FALSE),VLOOKUP("Unterhaltung Fuhrpark",Hilfstabelle!$C$1:$D$498,2,FALSE)&amp;"_"&amp;VLOOKUP("BErtrag",Hilfstabelle!$C$1:$D$499,2,FALSE))</f>
        <v>F4710_F3100</v>
      </c>
      <c r="E70" s="16" t="s">
        <v>1854</v>
      </c>
      <c r="F70" s="16"/>
    </row>
    <row r="71" spans="1:6" x14ac:dyDescent="0.3">
      <c r="A71" t="s">
        <v>1882</v>
      </c>
      <c r="B71" t="str">
        <f>IF(C2=Hilfstabelle!K8,"","=")</f>
        <v>=</v>
      </c>
      <c r="C71" t="str">
        <f>IF(C2=Hilfstabelle!K8,"Vermarktungsaufwand in %BE","Betriebsaufwand + Lohnansatz in %BE")</f>
        <v>Betriebsaufwand + Lohnansatz in %BE</v>
      </c>
      <c r="D71" t="str">
        <f>IF(C71="Bezogene Leistungen in %BE",VLOOKUP("Fremdleistung",Hilfstabelle!$C$1:$D$498,2,FALSE)&amp;"_"&amp;VLOOKUP("BErtrag",Hilfstabelle!$C$1:$D$499,2,FALSE),VLOOKUP("Unterhaltungsaufwand",Hilfstabelle!$C$1:$D$498,2,FALSE)&amp;"_"&amp;VLOOKUP("BErtrag",Hilfstabelle!$C$1:$D$499,2,FALSE))</f>
        <v>F4510_F3100</v>
      </c>
      <c r="E71" s="16" t="s">
        <v>1854</v>
      </c>
      <c r="F71" s="16"/>
    </row>
    <row r="72" spans="1:6" x14ac:dyDescent="0.3">
      <c r="A72" t="s">
        <v>1883</v>
      </c>
      <c r="B72" t="str">
        <f>IF(C2=Hilfstabelle!K8,"+","")</f>
        <v/>
      </c>
      <c r="C72" t="str">
        <f>IF(C2=Hilfstabelle!K8,"Lohnaufwand in %BE","Lohnaufwand je Fremd-AK")</f>
        <v>Lohnaufwand je Fremd-AK</v>
      </c>
      <c r="D72" t="str">
        <f>IF(C72="Vermarktungsaufwand in %BE",VLOOKUP("Vermarktungsaufwand",Hilfstabelle!$C$1:$D$498,2,FALSE)&amp;"_"&amp;VLOOKUP("BErtrag",Hilfstabelle!$C$1:$D$499,2,FALSE),VLOOKUP("Lohnquote",Hilfstabelle!$C$1:$D$498,2,FALSE)&amp;"_"&amp;VLOOKUP("BErtrag",Hilfstabelle!$C$1:$D$499,2,FALSE))</f>
        <v>F4711_F3100</v>
      </c>
      <c r="E72" s="16" t="str">
        <f>IF(C2=Hilfstabelle!K8,"%BE","€")</f>
        <v>€</v>
      </c>
      <c r="F72" s="16"/>
    </row>
    <row r="73" spans="1:6" x14ac:dyDescent="0.3">
      <c r="A73" t="s">
        <v>1884</v>
      </c>
      <c r="B73" t="str">
        <f>IF(C2=Hilfstabelle!K8,"+","")</f>
        <v/>
      </c>
      <c r="C73" t="str">
        <f>IF(C2=Hilfstabelle!K8,"Lohnansatz für Familien-AK in %BE",IF(C2=Hilfstabelle!K9," ",IF(OR(C2=Hilfstabelle!K2,C2=Hilfstabelle!K3,C2=Hilfstabelle!K7),"Heizmaterial/m² heizbare Glasfläche","AfA Fuhrpark und Maschinen je ha LF")))</f>
        <v>Heizmaterial/m² heizbare Glasfläche</v>
      </c>
      <c r="D73" t="str">
        <f>IF(C73="Heizmaterial/m² heizbare Glasfläche",VLOOKUP("Heizmaterial",Hilfstabelle!$C$1:$D$498,2,FALSE)&amp;"_"&amp;VLOOKUP("Heizbare Glasfläche",Hilfstabelle!$C$1:$D$499,2,FALSE),IF(C73="Lohnansatz für Familien-AK in %BE",VLOOKUP("Kalk. Lohnansatz",Hilfstabelle!$C$1:$D$498,2,FALSE)&amp;"_"&amp;VLOOKUP("BErtrag",Hilfstabelle!$C$1:$D$499,2,FALSE),VLOOKUP("AfA Fuhrpark u. Maschinen",Hilfstabelle!$C$1:$D$498,2,FALSE)&amp;"_"&amp;VLOOKUP("Fläche LW in ha",Hilfstabelle!$C$1:$D$499,2,FALSE)))</f>
        <v>F4328_F2420</v>
      </c>
      <c r="E73" s="16" t="str">
        <f>IF(C2=Hilfstabelle!K8,"%BE",IF(C2=Hilfstabelle!K9," ","€"))</f>
        <v>€</v>
      </c>
      <c r="F73" s="16"/>
    </row>
    <row r="74" spans="1:6" x14ac:dyDescent="0.3">
      <c r="A74" t="s">
        <v>1885</v>
      </c>
      <c r="B74" t="str">
        <f>IF(C2=Hilfstabelle!K8,"=","")</f>
        <v/>
      </c>
      <c r="C74" t="str">
        <f>IF(C2=Hilfstabelle!K8,"Betriebsaufwand + Lohnansatz in %BE","(Betriebsaufwand + Lohnansatz)/EQM")</f>
        <v>(Betriebsaufwand + Lohnansatz)/EQM</v>
      </c>
      <c r="D74" t="str">
        <f>IF(C74="(Betriebsaufwand + Lohnansatz)/EQM",VLOOKUP("BA+Lohnansatz",Hilfstabelle!$C$1:$D$498,2,FALSE)&amp;"_"&amp;VLOOKUP("EQM",Hilfstabelle!$C$1:$D$499,2,FALSE),VLOOKUP("BA+Lohnansatz",Hilfstabelle!$C$1:$D$498,2,FALSE)&amp;"_"&amp;VLOOKUP("BErtrag",Hilfstabelle!$C$1:$D$499,2,FALSE))</f>
        <v>F4120_F2800</v>
      </c>
      <c r="E74" s="16" t="str">
        <f>IF(C2=Hilfstabelle!K8,"%BE","€")</f>
        <v>€</v>
      </c>
      <c r="F74" s="16"/>
    </row>
    <row r="75" spans="1:6" x14ac:dyDescent="0.3">
      <c r="A75" t="str">
        <f>IF(C2=Hilfstabelle!K8,"65.","")</f>
        <v/>
      </c>
      <c r="C75" t="str">
        <f>IF(C2=Hilfstabelle!K8,"Lohnaufwand je Fremd-AK","Unternehmenserfolg")</f>
        <v>Unternehmenserfolg</v>
      </c>
      <c r="D75" t="str">
        <f>IF(C75="Unternehmenserfolg","",VLOOKUP("Lohnaufwand",Hilfstabelle!$C$1:$D$498,2,FALSE)&amp;"_"&amp;VLOOKUP("Fremd-AK",Hilfstabelle!$C$1:$D$499,2,FALSE))</f>
        <v/>
      </c>
      <c r="E75" s="16" t="str">
        <f>IF(C2=Hilfstabelle!K8,"€","")</f>
        <v/>
      </c>
      <c r="F75" s="16"/>
    </row>
    <row r="76" spans="1:6" x14ac:dyDescent="0.3">
      <c r="A76" t="str">
        <f>IF(C2=Hilfstabelle!K8,"","65.")</f>
        <v>65.</v>
      </c>
      <c r="C76" t="str">
        <f>IF(C2=Hilfstabelle!K8,"Unternehmenserfolg","Gewinn (betriebswirtschaftlich)")</f>
        <v>Gewinn (betriebswirtschaftlich)</v>
      </c>
      <c r="D76" t="str">
        <f>IF(C76="Unternehmenserfolg","",VLOOKUP("Gewinn",Hilfstabelle!$C$1:$D$498,2,FALSE))</f>
        <v>F9020</v>
      </c>
      <c r="E76" s="16" t="str">
        <f>IF(C2=Hilfstabelle!K8,"","€")</f>
        <v>€</v>
      </c>
      <c r="F76" s="16"/>
    </row>
    <row r="77" spans="1:6" x14ac:dyDescent="0.3">
      <c r="A77" t="s">
        <v>1886</v>
      </c>
      <c r="C77" t="str">
        <f>IF(C2=Hilfstabelle!K8,"Gewinn (betriebswirtschaftlich)","Gewinn je Familien-AK")</f>
        <v>Gewinn je Familien-AK</v>
      </c>
      <c r="D77" t="str">
        <f>IF(C77="Gewinn je Familien-AK",VLOOKUP("Gewinn",Hilfstabelle!$C$1:$D$498,2,FALSE)&amp;"_"&amp;VLOOKUP("Familien-AK",Hilfstabelle!$C$1:$D$498,2,FALSE),VLOOKUP("Gewinn",Hilfstabelle!$C$1:$D$498,2,FALSE))</f>
        <v>F9020_F1210</v>
      </c>
      <c r="E77" s="16" t="s">
        <v>20</v>
      </c>
      <c r="F77" s="16"/>
    </row>
    <row r="78" spans="1:6" x14ac:dyDescent="0.3">
      <c r="A78" t="s">
        <v>1887</v>
      </c>
      <c r="C78" t="str">
        <f>IF(C2=Hilfstabelle!K8,"Gewinn je Familien-AK","Cash Flow")</f>
        <v>Cash Flow</v>
      </c>
      <c r="D78" t="str">
        <f>IF(C78="Gewinn je Familien-AK",VLOOKUP("Gewinn",Hilfstabelle!$C$1:$D$498,2,FALSE)&amp;"_"&amp;VLOOKUP("Familien-AK",Hilfstabelle!$C$1:$D$498,2,FALSE),VLOOKUP("Cash Flow_N",Hilfstabelle!$C$1:$D$498,2,FALSE))</f>
        <v>F9400</v>
      </c>
      <c r="E78" s="16" t="s">
        <v>20</v>
      </c>
      <c r="F78" s="16"/>
    </row>
    <row r="79" spans="1:6" x14ac:dyDescent="0.3">
      <c r="A79" t="s">
        <v>1888</v>
      </c>
      <c r="C79" t="str">
        <f>IF(C2=Hilfstabelle!K8,"Cash Flow","Eigenkapitalveränderung")</f>
        <v>Eigenkapitalveränderung</v>
      </c>
      <c r="D79" t="str">
        <f>IF(C79="Eigenkapitalveränderung",VLOOKUP("Eigenkapitalveränderung",Hilfstabelle!$C$1:$D$498,2,FALSE),VLOOKUP("Cash Flow_N",Hilfstabelle!$C$1:$D$498,2,FALSE))</f>
        <v>F9120</v>
      </c>
      <c r="E79" s="16" t="s">
        <v>20</v>
      </c>
      <c r="F79" s="16"/>
    </row>
    <row r="80" spans="1:6" x14ac:dyDescent="0.3">
      <c r="A80" t="str">
        <f>IF(C2=Hilfstabelle!K8,"69.","")</f>
        <v/>
      </c>
      <c r="C80" t="str">
        <f>IF(C2=Hilfstabelle!K8,"Eigenkapitalveränderung","Betriebserfolg")</f>
        <v>Betriebserfolg</v>
      </c>
      <c r="D80" t="str">
        <f>IF(C80="Eigenkapitalveränderung",VLOOKUP("Eigenkapitalveränderung",Hilfstabelle!$C$1:$D$498,2,FALSE),"")</f>
        <v/>
      </c>
      <c r="E80" s="16" t="str">
        <f>IF(C2=Hilfstabelle!K8,"€","")</f>
        <v/>
      </c>
      <c r="F80" s="16"/>
    </row>
    <row r="81" spans="1:6" x14ac:dyDescent="0.3">
      <c r="A81" t="str">
        <f>IF(C2=Hilfstabelle!K8,"","69.")</f>
        <v>69.</v>
      </c>
      <c r="C81" t="str">
        <f>IF(C2=Hilfstabelle!K8,"Betriebserfolg","Bereinigter Betriebsertrag in %BE")</f>
        <v>Bereinigter Betriebsertrag in %BE</v>
      </c>
      <c r="D81" t="str">
        <f>IF(C81="Betriebserfolg","",VLOOKUP("bereinigter Betriebsertrag",Hilfstabelle!$C$1:$D$498,2,FALSE)&amp;"_"&amp;VLOOKUP("BErtrag",Hilfstabelle!$C$1:$D$498,2,FALSE))</f>
        <v>F9300_F3100</v>
      </c>
      <c r="E81" s="16" t="str">
        <f>IF(C2=Hilfstabelle!K8,"","% BE")</f>
        <v>% BE</v>
      </c>
      <c r="F81" s="16"/>
    </row>
    <row r="82" spans="1:6" x14ac:dyDescent="0.3">
      <c r="A82" t="s">
        <v>1889</v>
      </c>
      <c r="C82" t="str">
        <f>IF(C2=Hilfstabelle!K8,"Bereinigter Betriebsertrag in %BE","Betriebseinkommen in %BE")</f>
        <v>Betriebseinkommen in %BE</v>
      </c>
      <c r="D82" t="str">
        <f>IF(C82="Betriebseinkommen in %BE",VLOOKUP("BEinkommen",Hilfstabelle!$C$1:$D$498,2,FALSE)&amp;"_"&amp;VLOOKUP("BErtrag",Hilfstabelle!$C$1:$D$498,2,FALSE),VLOOKUP("bereinigter Betriebsertrag",Hilfstabelle!$C$1:$D$498,2,FALSE)&amp;"_"&amp;VLOOKUP("BErtrag",Hilfstabelle!$C$1:$D$498,2,FALSE))</f>
        <v>F9320_F3100</v>
      </c>
      <c r="E82" s="16" t="s">
        <v>1890</v>
      </c>
      <c r="F82" s="16"/>
    </row>
    <row r="83" spans="1:6" x14ac:dyDescent="0.3">
      <c r="A83" t="s">
        <v>1891</v>
      </c>
      <c r="C83" t="str">
        <f>IF(C2=Hilfstabelle!K8,"Betriebseinkommen in %BE","Roheinkommen in %BE")</f>
        <v>Roheinkommen in %BE</v>
      </c>
      <c r="D83" t="str">
        <f>IF(C83="Betriebseinkommen in %BE",VLOOKUP("BEinkommen",Hilfstabelle!$C$1:$D$498,2,FALSE)&amp;"_"&amp;VLOOKUP("BErtrag",Hilfstabelle!$C$1:$D$498,2,FALSE),VLOOKUP("Roheinkommen",Hilfstabelle!$C$1:$D$498,2,FALSE)&amp;"_"&amp;VLOOKUP("BErtrag",Hilfstabelle!$C$1:$D$498,2,FALSE))</f>
        <v>F9330_F3100</v>
      </c>
      <c r="E83" s="16" t="s">
        <v>1890</v>
      </c>
      <c r="F83" s="16"/>
    </row>
    <row r="84" spans="1:6" x14ac:dyDescent="0.3">
      <c r="A84" t="s">
        <v>1892</v>
      </c>
      <c r="C84" t="str">
        <f>IF(C2=Hilfstabelle!K8,"Roheinkommen in %BE","Reinertrag in %BE")</f>
        <v>Reinertrag in %BE</v>
      </c>
      <c r="D84" t="str">
        <f>IF(C84="Reinertrag in %BE",VLOOKUP("Reinertrag",Hilfstabelle!$C$1:$D$498,2,FALSE)&amp;"_"&amp;VLOOKUP("BErtrag",Hilfstabelle!$C$1:$D$498,2,FALSE),VLOOKUP("Roheinkommen",Hilfstabelle!$C$1:$D$498,2,FALSE)&amp;"_"&amp;VLOOKUP("BErtrag",Hilfstabelle!$C$1:$D$498,2,FALSE))</f>
        <v>F9340_F3100</v>
      </c>
      <c r="E84" s="16" t="s">
        <v>1890</v>
      </c>
      <c r="F84" s="16"/>
    </row>
    <row r="85" spans="1:6" x14ac:dyDescent="0.3">
      <c r="A85" t="s">
        <v>1893</v>
      </c>
      <c r="C85" t="str">
        <f>IF(C2=Hilfstabelle!K8,"Reinertrag in %BE","Reinertragsdifferenz in %BE")</f>
        <v>Reinertragsdifferenz in %BE</v>
      </c>
      <c r="D85" t="str">
        <f>IF(C85="Reinertrag in %BE",VLOOKUP("Reinertrag",Hilfstabelle!$C$1:$D$498,2,FALSE)&amp;"_"&amp;VLOOKUP("BErtrag",Hilfstabelle!$C$1:$D$498,2,FALSE),VLOOKUP("Reinertragsdifferenz",Hilfstabelle!$C$1:$D$498,2,FALSE)&amp;"_"&amp;VLOOKUP("BErtrag",Hilfstabelle!$C$1:$D$498,2,FALSE))</f>
        <v>F9350_F3100</v>
      </c>
      <c r="E85" s="16" t="s">
        <v>1890</v>
      </c>
      <c r="F85" s="16"/>
    </row>
    <row r="86" spans="1:6" x14ac:dyDescent="0.3">
      <c r="A86" t="str">
        <f>IF(C2=Hilfstabelle!K8,"74.","")</f>
        <v/>
      </c>
      <c r="C86" t="str">
        <f>IF(C2=Hilfstabelle!K8,"Reinertragsdifferenz in %BE","Arbeitsproduktivität")</f>
        <v>Arbeitsproduktivität</v>
      </c>
      <c r="D86" t="str">
        <f>IF(C86="Reinertragsdifferenz in %BE",VLOOKUP("Reinertragsdifferenz",Hilfstabelle!$C$1:$D$498,2,FALSE)&amp;"_"&amp;VLOOKUP("BErtrag",Hilfstabelle!$C$1:$D$498,2,FALSE),"")</f>
        <v/>
      </c>
      <c r="E86" s="16" t="str">
        <f>IF(C2=Hilfstabelle!K8,"%BE","")</f>
        <v/>
      </c>
      <c r="F86" s="16"/>
    </row>
    <row r="87" spans="1:6" x14ac:dyDescent="0.3">
      <c r="A87" t="str">
        <f>IF(C2=Hilfstabelle!K8,"","74.")</f>
        <v>74.</v>
      </c>
      <c r="C87" t="str">
        <f>IF(C2=Hilfstabelle!K8,"Arbeitsproduktivität","Betriebsertrag je AK")</f>
        <v>Betriebsertrag je AK</v>
      </c>
      <c r="D87" t="str">
        <f>IF(C87="Arbeitsproduktivität","",VLOOKUP("BErtrag",Hilfstabelle!$C$1:$D$498,2,FALSE)&amp;"_"&amp;VLOOKUP("AK insg.",Hilfstabelle!$C$1:$D$498,2,FALSE))</f>
        <v>F3100_F1000</v>
      </c>
      <c r="E87" s="16" t="str">
        <f>IF(C2=Hilfstabelle!K8,"","€")</f>
        <v>€</v>
      </c>
      <c r="F87" s="16"/>
    </row>
    <row r="88" spans="1:6" x14ac:dyDescent="0.3">
      <c r="A88" t="s">
        <v>1894</v>
      </c>
      <c r="C88" t="str">
        <f>IF(C2=Hilfstabelle!K8,"Betriebsertrag je AK","Bereinigter Betriebsertrag je AK")</f>
        <v>Bereinigter Betriebsertrag je AK</v>
      </c>
      <c r="D88" t="str">
        <f>IF(C88="Betriebsertrag je AK",VLOOKUP("BErtrag",Hilfstabelle!$C$1:$D$498,2,FALSE)&amp;"_"&amp;VLOOKUP("AK insg.",Hilfstabelle!$C$1:$D$498,2,FALSE),VLOOKUP("Bereinigter Betriebsertrag",Hilfstabelle!$C$1:$D$498,2,FALSE)&amp;"_"&amp;VLOOKUP("AK insg.",Hilfstabelle!$C$1:$D$498,2,FALSE))</f>
        <v>F9300_F1000</v>
      </c>
      <c r="E88" s="16" t="s">
        <v>20</v>
      </c>
      <c r="F88" s="16"/>
    </row>
    <row r="89" spans="1:6" x14ac:dyDescent="0.3">
      <c r="A89" t="s">
        <v>1895</v>
      </c>
      <c r="C89" t="str">
        <f>IF(C2=Hilfstabelle!K8,"Bereinigter Betriebsertrag je AK","Betriebseinkommen je AK")</f>
        <v>Betriebseinkommen je AK</v>
      </c>
      <c r="D89" t="str">
        <f>IF(C89="Betriebseinkommen je AK",VLOOKUP("BEinkommen",Hilfstabelle!$C$1:$D$498,2,FALSE)&amp;"_"&amp;VLOOKUP("AK insg.",Hilfstabelle!$C$1:$D$498,2,FALSE),VLOOKUP("Bereinigter Betriebsertrag",Hilfstabelle!$C$1:$D$498,2,FALSE)&amp;"_"&amp;VLOOKUP("AK insg.",Hilfstabelle!$C$1:$D$498,2,FALSE))</f>
        <v>F9320_F1000</v>
      </c>
      <c r="E89" s="16" t="s">
        <v>20</v>
      </c>
      <c r="F89" s="16"/>
    </row>
    <row r="90" spans="1:6" x14ac:dyDescent="0.3">
      <c r="A90" t="s">
        <v>1896</v>
      </c>
      <c r="C90" t="str">
        <f>IF(C2=Hilfstabelle!K8,"Betriebseinkommen je AK","Arbeitsertrag je AK")</f>
        <v>Arbeitsertrag je AK</v>
      </c>
      <c r="D90" t="str">
        <f>IF(C90="Betriebseinkommen je AK",VLOOKUP("BEinkommen",Hilfstabelle!$C$1:$D$498,2,FALSE)&amp;"_"&amp;VLOOKUP("AK insg.",Hilfstabelle!$C$1:$D$498,2,FALSE),VLOOKUP("Ges ArbeitsErtrag Betrieb",Hilfstabelle!$C$1:$D$498,2,FALSE)&amp;"_"&amp;VLOOKUP("AK insg.",Hilfstabelle!$C$1:$D$498,2,FALSE))</f>
        <v>F9721_F1000</v>
      </c>
      <c r="E90" s="16" t="s">
        <v>20</v>
      </c>
      <c r="F90" s="16"/>
    </row>
    <row r="91" spans="1:6" x14ac:dyDescent="0.3">
      <c r="A91" t="str">
        <f>IF(C2=Hilfstabelle!K8,"78.","")</f>
        <v/>
      </c>
      <c r="C91" t="str">
        <f>IF(C2=Hilfstabelle!K8,"Arbeitsertrag je AK","Flächenproduktivität")</f>
        <v>Flächenproduktivität</v>
      </c>
      <c r="D91" t="str">
        <f>IF(C91="Flächenproduktivität","",VLOOKUP("Ges ArbeitsErtrag Betrieb",Hilfstabelle!$C$1:$D$498,2,FALSE)&amp;"_"&amp;VLOOKUP("AK insg.",Hilfstabelle!$C$1:$D$498,2,FALSE))</f>
        <v/>
      </c>
      <c r="E91" s="16" t="str">
        <f>IF(C2=Hilfstabelle!K8,"€","")</f>
        <v/>
      </c>
      <c r="F91" s="16"/>
    </row>
    <row r="92" spans="1:6" x14ac:dyDescent="0.3">
      <c r="A92" t="str">
        <f>IF(C2=Hilfstabelle!K8,"","78.")</f>
        <v>78.</v>
      </c>
      <c r="C92" t="str">
        <f>IF(C2=Hilfstabelle!K8,"Flächenproduktivität",IF(OR(C2=Hilfstabelle!K2,C2=Hilfstabelle!K3,C2=Hilfstabelle!K9,C2=Hilfstabelle!K7),"Bereinigter Betriebsertrag je EQM","Bereinigter Betriebsertrag je ha LF"))</f>
        <v>Bereinigter Betriebsertrag je EQM</v>
      </c>
      <c r="D92" t="str">
        <f>IF(C92="Bereinigter Betriebsertrag je EQM",VLOOKUP("bereinigter Betriebsertrag",Hilfstabelle!$C$1:$D$498,2,FALSE)&amp;"_"&amp;VLOOKUP("EQM",Hilfstabelle!$C$1:$D$498,2,FALSE),IF(C92="Flächenproduktivität","",VLOOKUP("Bereinigter Betriebsertrag",Hilfstabelle!$C$1:$D$498,2,FALSE)&amp;"_"&amp;VLOOKUP("Fläche LW in ha",Hilfstabelle!$C$1:$D$498,2,FALSE)))</f>
        <v>F9300_F2800</v>
      </c>
      <c r="E92" s="16" t="str">
        <f>IF(C2=Hilfstabelle!K8,"","€")</f>
        <v>€</v>
      </c>
      <c r="F92" s="16"/>
    </row>
    <row r="93" spans="1:6" x14ac:dyDescent="0.3">
      <c r="A93" t="s">
        <v>1897</v>
      </c>
      <c r="C93" t="str">
        <f>IF(C2=Hilfstabelle!K8,"",IF(OR(C2=Hilfstabelle!K2,C2=Hilfstabelle!K3,C2=Hilfstabelle!K9,C2=Hilfstabelle!K7),"Betriebseinkommen je EQM","Betriebseinkommen je ha LF"))</f>
        <v>Betriebseinkommen je EQM</v>
      </c>
      <c r="D93" t="str">
        <f>IF(C93="Betriebseinkommen je ha LF",VLOOKUP("BEinkommen",Hilfstabelle!$C$1:$D$498,2,FALSE)&amp;"_"&amp;VLOOKUP("Fläche LW in ha",Hilfstabelle!$C$1:$D$498,2,FALSE),IF(C93="","",VLOOKUP("BEinkommen",Hilfstabelle!$C$1:$D$498,2,FALSE)&amp;"_"&amp;VLOOKUP("EQM",Hilfstabelle!$C$1:$D$498,2,FALSE)))</f>
        <v>F9320_F2800</v>
      </c>
      <c r="E93" s="16" t="str">
        <f>IF(C2=Hilfstabelle!K8,"","€")</f>
        <v>€</v>
      </c>
      <c r="F93" s="16"/>
    </row>
    <row r="94" spans="1:6" x14ac:dyDescent="0.3">
      <c r="A94" t="s">
        <v>1898</v>
      </c>
      <c r="C94" t="str">
        <f>IF(C2=Hilfstabelle!K8,"",IF(OR(C2=Hilfstabelle!K2,C2=Hilfstabelle!K3,C2=Hilfstabelle!K9,C2=Hilfstabelle!K7),"Reinertrag je EQM","Reinertrag je ha LF"))</f>
        <v>Reinertrag je EQM</v>
      </c>
      <c r="D94" t="str">
        <f>IF(C94="Reinertrag je ha LF",VLOOKUP("Reinertrag",Hilfstabelle!$C$1:$D$498,2,FALSE)&amp;"_"&amp;VLOOKUP("Fläche LW in ha",Hilfstabelle!$C$1:$D$498,2,FALSE),IF(C94="","",VLOOKUP("Reinertrag",Hilfstabelle!$C$1:$D$498,2,FALSE)&amp;"_"&amp;VLOOKUP("EQM",Hilfstabelle!$C$1:$D$498,2,FALSE)))</f>
        <v>F9340_F2800</v>
      </c>
      <c r="E94" s="16" t="str">
        <f>IF(C2=Hilfstabelle!K8,"","€")</f>
        <v>€</v>
      </c>
      <c r="F94" s="16"/>
    </row>
    <row r="95" spans="1:6" x14ac:dyDescent="0.3">
      <c r="A95" t="s">
        <v>1899</v>
      </c>
      <c r="C95" t="str">
        <f>IF(C2=Hilfstabelle!K8,"",IF(C2=Hilfstabelle!K9,"",IF(OR(C2=Hilfstabelle!K2,C2=Hilfstabelle!K3,C2=Hilfstabelle!K7),"Einnahmen Unterglas je m² Glasfl.","Einnahmen Gartenbau je ha GG")))</f>
        <v>Einnahmen Unterglas je m² Glasfl.</v>
      </c>
      <c r="D95" t="str">
        <f>IF(C95="Einnahmen Gartenbau je ha GG",VLOOKUP("E-Gartenbau",Hilfstabelle!$C$1:$D$498,2,FALSE)&amp;"_"&amp;VLOOKUP("GG in ha",Hilfstabelle!$C$1:$D$498,2,FALSE),IF(C95="","",VLOOKUP("Ertrag Eigenproduktion Unterglas",Hilfstabelle!$C$1:$D$498,2,FALSE)&amp;"_"&amp;VLOOKUP("Glasfläche",Hilfstabelle!$C$1:$D$498,2,FALSE)))</f>
        <v>F3350_F2400</v>
      </c>
      <c r="E95" s="16" t="str">
        <f>IF(C95="","","€")</f>
        <v>€</v>
      </c>
      <c r="F95" s="16"/>
    </row>
    <row r="96" spans="1:6" x14ac:dyDescent="0.3">
      <c r="C96" t="s">
        <v>1900</v>
      </c>
    </row>
    <row r="97" spans="1:6" x14ac:dyDescent="0.3">
      <c r="A97" t="s">
        <v>1901</v>
      </c>
      <c r="C97" t="s">
        <v>755</v>
      </c>
      <c r="D97" t="str">
        <f>VLOOKUP("Kapitalkoeffizient",Hilfstabelle!$C$1:$D$498,2,FALSE)</f>
        <v>F9731</v>
      </c>
    </row>
    <row r="98" spans="1:6" x14ac:dyDescent="0.3">
      <c r="A98" t="s">
        <v>1902</v>
      </c>
      <c r="C98" t="s">
        <v>1903</v>
      </c>
      <c r="D98" t="str">
        <f>VLOOKUP("WsKoeffizient",Hilfstabelle!$C$1:$D$498,2,FALSE)</f>
        <v>F9713</v>
      </c>
    </row>
    <row r="99" spans="1:6" x14ac:dyDescent="0.3">
      <c r="A99" t="s">
        <v>1904</v>
      </c>
      <c r="C99" t="s">
        <v>769</v>
      </c>
      <c r="D99" t="str">
        <f>VLOOKUP("Umsatzrentabilität_N",Hilfstabelle!$C$1:$D$498,2,FALSE)</f>
        <v>F9230</v>
      </c>
      <c r="E99" s="16" t="s">
        <v>181</v>
      </c>
      <c r="F99" s="16"/>
    </row>
  </sheetData>
  <mergeCells count="6">
    <mergeCell ref="H1:I1"/>
    <mergeCell ref="J1:K1"/>
    <mergeCell ref="H2:I2"/>
    <mergeCell ref="J2:K2"/>
    <mergeCell ref="H3:I3"/>
    <mergeCell ref="J3:K3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lassifikation Betrieb" prompt="Klassifikation auswählen_x000a_" xr:uid="{00000000-0002-0000-0100-000000000000}">
          <x14:formula1>
            <xm:f>Hilfstabelle!$K$1:$K$9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4"/>
  <sheetViews>
    <sheetView workbookViewId="0">
      <selection activeCell="D20" sqref="D20"/>
    </sheetView>
  </sheetViews>
  <sheetFormatPr baseColWidth="10" defaultRowHeight="14.4" x14ac:dyDescent="0.3"/>
  <cols>
    <col min="1" max="3" width="5.33203125" customWidth="1"/>
    <col min="4" max="4" width="57.33203125" customWidth="1"/>
    <col min="5" max="5" width="47.6640625" customWidth="1"/>
    <col min="6" max="6" width="40.6640625" customWidth="1"/>
    <col min="7" max="9" width="11.6640625" customWidth="1"/>
    <col min="10" max="10" width="80.6640625" customWidth="1"/>
    <col min="11" max="11" width="22" hidden="1" customWidth="1"/>
    <col min="12" max="12" width="11.6640625" customWidth="1"/>
    <col min="13" max="18" width="16.6640625" customWidth="1"/>
  </cols>
  <sheetData>
    <row r="1" spans="1:18" x14ac:dyDescent="0.3">
      <c r="A1" s="34" t="str">
        <f>HYPERLINK("#Erläuterungen!A1","Erläuterungen")</f>
        <v>Erläuterungen</v>
      </c>
      <c r="B1" s="34"/>
      <c r="C1" s="34"/>
      <c r="G1" s="29" t="s">
        <v>1640</v>
      </c>
      <c r="H1" s="29"/>
      <c r="I1" s="29" t="s">
        <v>0</v>
      </c>
      <c r="J1" s="29"/>
    </row>
    <row r="2" spans="1:18" ht="21" x14ac:dyDescent="0.4">
      <c r="C2" s="33" t="s">
        <v>185</v>
      </c>
      <c r="D2" s="33"/>
      <c r="F2" s="12" t="s">
        <v>1639</v>
      </c>
      <c r="G2" s="29">
        <v>9100</v>
      </c>
      <c r="H2" s="29"/>
      <c r="I2" s="29" t="str">
        <f>IF(G2&gt;0,VLOOKUP("F"&amp;G2,Hilfstabelle!A1:B451,2,FALSE),"")</f>
        <v>Zinsertrag aus Eigenkapital</v>
      </c>
      <c r="J2" s="29"/>
      <c r="M2" s="30" t="s">
        <v>2</v>
      </c>
      <c r="N2" s="30"/>
      <c r="O2" s="30"/>
      <c r="P2" s="30"/>
      <c r="Q2" s="30"/>
      <c r="R2" s="30"/>
    </row>
    <row r="3" spans="1:18" x14ac:dyDescent="0.3">
      <c r="C3" s="1"/>
      <c r="D3" s="1"/>
      <c r="E3" s="1"/>
      <c r="F3" s="12" t="s">
        <v>1638</v>
      </c>
      <c r="G3" s="29">
        <v>225</v>
      </c>
      <c r="H3" s="29"/>
      <c r="I3" s="29" t="str">
        <f>IF(G3&gt;0,VLOOKUP(G3,Hilfstabelle!F1:G548,2,FALSE),"")</f>
        <v>Gewinn</v>
      </c>
      <c r="J3" s="29"/>
      <c r="K3" s="1"/>
      <c r="L3" s="1"/>
      <c r="M3" s="1"/>
      <c r="N3" s="1"/>
      <c r="O3" s="1"/>
      <c r="P3" s="1"/>
      <c r="Q3" s="1"/>
      <c r="R3" s="1"/>
    </row>
    <row r="4" spans="1:18" x14ac:dyDescent="0.3">
      <c r="D4" s="31" t="s">
        <v>4</v>
      </c>
      <c r="E4" s="2"/>
      <c r="F4" s="31" t="s">
        <v>5</v>
      </c>
      <c r="G4" s="31" t="s">
        <v>6</v>
      </c>
      <c r="H4" s="2"/>
      <c r="I4" s="2"/>
      <c r="J4" s="32" t="s">
        <v>7</v>
      </c>
      <c r="K4" s="31" t="s">
        <v>8</v>
      </c>
      <c r="L4" s="1"/>
      <c r="M4" s="18" t="s">
        <v>185</v>
      </c>
      <c r="N4" s="18" t="s">
        <v>9</v>
      </c>
      <c r="O4" s="3" t="s">
        <v>10</v>
      </c>
      <c r="P4" s="3" t="s">
        <v>11</v>
      </c>
      <c r="Q4" s="3" t="s">
        <v>12</v>
      </c>
      <c r="R4" s="3" t="s">
        <v>13</v>
      </c>
    </row>
    <row r="5" spans="1:18" x14ac:dyDescent="0.3">
      <c r="A5" s="30" t="s">
        <v>3</v>
      </c>
      <c r="B5" s="30"/>
      <c r="C5" s="30"/>
      <c r="D5" s="31"/>
      <c r="E5" s="2" t="s">
        <v>14</v>
      </c>
      <c r="F5" s="31"/>
      <c r="G5" s="31"/>
      <c r="H5" s="2"/>
      <c r="I5" s="2" t="s">
        <v>15</v>
      </c>
      <c r="J5" s="31"/>
      <c r="K5" s="31"/>
      <c r="L5" s="1" t="s">
        <v>16</v>
      </c>
      <c r="M5" s="3" t="str">
        <f>IF(M4="Arbeitskräfte","1000",VLOOKUP(M4,Hilfstabelle!B1:D435,3,FALSE))</f>
        <v>1000</v>
      </c>
      <c r="N5" s="3" t="str">
        <f>IF(N4="Flächen","2000",VLOOKUP(N4,Hilfstabelle!B1:D435,3,FALSE))</f>
        <v>2000</v>
      </c>
      <c r="O5" s="3">
        <v>3000</v>
      </c>
      <c r="P5" s="3">
        <v>4000</v>
      </c>
      <c r="Q5" s="3">
        <v>5000</v>
      </c>
      <c r="R5" s="3">
        <v>6000</v>
      </c>
    </row>
    <row r="8" spans="1:18" x14ac:dyDescent="0.3">
      <c r="A8">
        <v>1000</v>
      </c>
      <c r="D8" s="4" t="s">
        <v>1968</v>
      </c>
      <c r="E8" s="4" t="s">
        <v>186</v>
      </c>
      <c r="F8" t="s">
        <v>1970</v>
      </c>
      <c r="J8" t="str">
        <f>VLOOKUP("Familien-AK",Hilfstabelle!C2:D451,2,FALSE)&amp;"+"&amp;VLOOKUP("Entlohnte AK",Hilfstabelle!C2:D451,2,FALSE)&amp;"+"&amp;VLOOKUP("nicht entlohnte Fremd-AK",Hilfstabelle!C2:D451,2,FALSE)</f>
        <v>F1210+F1100+F1320</v>
      </c>
      <c r="L8" t="s">
        <v>189</v>
      </c>
      <c r="N8" t="str">
        <f>IF(N4="Flächen","","F"&amp;A8&amp;"_"&amp;N5)</f>
        <v/>
      </c>
    </row>
    <row r="9" spans="1:18" x14ac:dyDescent="0.3">
      <c r="C9">
        <v>1001</v>
      </c>
      <c r="D9" t="s">
        <v>199</v>
      </c>
      <c r="E9" t="s">
        <v>200</v>
      </c>
      <c r="J9" t="str">
        <f>"i624+((i625+i626+i627)/"&amp;VLOOKUP("kalkStd_VollAK",Hilfstabelle!C2:D451,2,FALSE)&amp;")"</f>
        <v>i624+((i625+i626+i627)/F1900)</v>
      </c>
      <c r="L9" t="s">
        <v>189</v>
      </c>
      <c r="M9" t="str">
        <f>IF($M$4="Arbeitskräfte","","F"&amp;C9&amp;"_"&amp;$M$5)</f>
        <v/>
      </c>
    </row>
    <row r="10" spans="1:18" x14ac:dyDescent="0.3">
      <c r="C10">
        <v>1002</v>
      </c>
      <c r="D10" t="s">
        <v>203</v>
      </c>
      <c r="E10" t="s">
        <v>204</v>
      </c>
      <c r="J10" t="str">
        <f>"i614+((i615+i616+i617)/"&amp;VLOOKUP("kalkStd_VollAK",Hilfstabelle!C2:D451,2,FALSE)&amp;")"</f>
        <v>i614+((i615+i616+i617)/F1900)</v>
      </c>
      <c r="L10" t="s">
        <v>189</v>
      </c>
      <c r="M10" t="str">
        <f>IF($M$4="Arbeitskräfte","","F"&amp;C10&amp;"_"&amp;$M$5)</f>
        <v/>
      </c>
    </row>
    <row r="11" spans="1:18" x14ac:dyDescent="0.3">
      <c r="C11">
        <v>1003</v>
      </c>
      <c r="D11" s="4" t="s">
        <v>205</v>
      </c>
      <c r="E11" s="4" t="s">
        <v>206</v>
      </c>
      <c r="J11" t="str">
        <f>"i634+((i635+i636+i637)/"&amp;VLOOKUP("kalkStd_VollAK",Hilfstabelle!C2:D451,2,FALSE)&amp;")"</f>
        <v>i634+((i635+i636+i637)/F1900)</v>
      </c>
      <c r="L11" t="s">
        <v>189</v>
      </c>
      <c r="M11" t="str">
        <f>IF($M$4="Arbeitskräfte","","F"&amp;C11&amp;"_"&amp;$M$5)</f>
        <v/>
      </c>
    </row>
    <row r="13" spans="1:18" x14ac:dyDescent="0.3">
      <c r="A13">
        <v>1100</v>
      </c>
      <c r="D13" s="4" t="s">
        <v>2077</v>
      </c>
      <c r="E13" t="s">
        <v>191</v>
      </c>
      <c r="J13" t="str">
        <f>"i602+i603+i640+((i605+i606)/"&amp;VLOOKUP("kalkStd_VollAK",Hilfstabelle!C2:D451,2,FALSE)&amp;")"</f>
        <v>i602+i603+i640+((i605+i606)/F1900)</v>
      </c>
      <c r="L13" t="s">
        <v>189</v>
      </c>
      <c r="M13" t="str">
        <f>IF($M$4="Arbeitskräfte","","F"&amp;A13&amp;"_"&amp;$M$5)</f>
        <v/>
      </c>
    </row>
    <row r="14" spans="1:18" x14ac:dyDescent="0.3">
      <c r="B14">
        <v>1110</v>
      </c>
      <c r="D14" s="4" t="s">
        <v>2079</v>
      </c>
      <c r="E14" t="s">
        <v>197</v>
      </c>
      <c r="F14" s="4" t="s">
        <v>197</v>
      </c>
      <c r="J14" t="s">
        <v>198</v>
      </c>
      <c r="L14" t="s">
        <v>189</v>
      </c>
      <c r="M14" t="str">
        <f>IF($M$4="Arbeitskräfte","","F"&amp;B14&amp;"_"&amp;$M$5)</f>
        <v/>
      </c>
    </row>
    <row r="15" spans="1:18" x14ac:dyDescent="0.3">
      <c r="C15">
        <v>1111</v>
      </c>
      <c r="D15" t="s">
        <v>201</v>
      </c>
      <c r="E15" t="s">
        <v>202</v>
      </c>
      <c r="J15" t="str">
        <f>"i622+i623+i661+i628+(i625/"&amp;VLOOKUP("kalkStd_VollAK",Hilfstabelle!C2:D451,2,FALSE)&amp;")"</f>
        <v>i622+i623+i661+i628+(i625/F1900)</v>
      </c>
      <c r="L15" t="s">
        <v>189</v>
      </c>
      <c r="M15" t="str">
        <f>IF($M$4="Arbeitskräfte","","F"&amp;C15&amp;"_"&amp;$M$5)</f>
        <v/>
      </c>
    </row>
    <row r="16" spans="1:18" x14ac:dyDescent="0.3">
      <c r="C16">
        <v>1112</v>
      </c>
      <c r="D16" t="s">
        <v>1671</v>
      </c>
      <c r="L16" t="s">
        <v>189</v>
      </c>
      <c r="M16" t="str">
        <f>IF($M$4="Arbeitskräfte","","F"&amp;C16&amp;"_"&amp;$M$5)</f>
        <v/>
      </c>
    </row>
    <row r="17" spans="1:13" x14ac:dyDescent="0.3">
      <c r="C17">
        <v>1113</v>
      </c>
      <c r="D17" s="4" t="s">
        <v>1672</v>
      </c>
      <c r="L17" t="s">
        <v>189</v>
      </c>
      <c r="M17" t="str">
        <f>IF($M$4="Arbeitskräfte","","F"&amp;C17&amp;"_"&amp;$M$5)</f>
        <v/>
      </c>
    </row>
    <row r="19" spans="1:13" x14ac:dyDescent="0.3">
      <c r="A19">
        <v>1200</v>
      </c>
      <c r="D19" s="4" t="s">
        <v>2081</v>
      </c>
      <c r="E19" s="4" t="s">
        <v>192</v>
      </c>
      <c r="F19" s="4" t="s">
        <v>2080</v>
      </c>
      <c r="I19">
        <v>604</v>
      </c>
      <c r="K19" t="s">
        <v>193</v>
      </c>
      <c r="L19" t="s">
        <v>189</v>
      </c>
      <c r="M19" t="str">
        <f>IF($M$4="Arbeitskräfte","","F"&amp;A19&amp;"_"&amp;$M$5)</f>
        <v/>
      </c>
    </row>
    <row r="20" spans="1:13" x14ac:dyDescent="0.3">
      <c r="B20">
        <v>1210</v>
      </c>
      <c r="D20" s="4" t="s">
        <v>2078</v>
      </c>
      <c r="E20" s="4" t="s">
        <v>194</v>
      </c>
      <c r="F20" t="s">
        <v>195</v>
      </c>
      <c r="J20" t="s">
        <v>196</v>
      </c>
      <c r="L20" t="s">
        <v>189</v>
      </c>
      <c r="M20" t="str">
        <f>IF($M$4="Arbeitskräfte","","F"&amp;B20&amp;"_"&amp;$M$5)</f>
        <v/>
      </c>
    </row>
    <row r="21" spans="1:13" x14ac:dyDescent="0.3">
      <c r="C21">
        <v>1211</v>
      </c>
      <c r="D21" t="s">
        <v>2085</v>
      </c>
      <c r="F21" t="s">
        <v>2082</v>
      </c>
      <c r="I21">
        <v>624</v>
      </c>
      <c r="L21" t="s">
        <v>189</v>
      </c>
      <c r="M21" t="str">
        <f>IF($M$4="Arbeitskräfte","","F"&amp;C21&amp;"_"&amp;$M$5)</f>
        <v/>
      </c>
    </row>
    <row r="22" spans="1:13" x14ac:dyDescent="0.3">
      <c r="C22">
        <v>1212</v>
      </c>
      <c r="D22" t="s">
        <v>2086</v>
      </c>
      <c r="F22" t="s">
        <v>2083</v>
      </c>
      <c r="I22">
        <v>314</v>
      </c>
      <c r="L22" t="s">
        <v>189</v>
      </c>
      <c r="M22" t="str">
        <f>IF($M$4="Arbeitskräfte","","F"&amp;C22&amp;"_"&amp;$M$5)</f>
        <v/>
      </c>
    </row>
    <row r="23" spans="1:13" x14ac:dyDescent="0.3">
      <c r="C23">
        <v>1213</v>
      </c>
      <c r="D23" t="s">
        <v>2087</v>
      </c>
      <c r="F23" t="s">
        <v>2084</v>
      </c>
      <c r="I23">
        <v>634</v>
      </c>
      <c r="L23" t="s">
        <v>189</v>
      </c>
      <c r="M23" t="str">
        <f>IF($M$4="Arbeitskräfte","","F"&amp;C23&amp;"_"&amp;$M$5)</f>
        <v/>
      </c>
    </row>
    <row r="25" spans="1:13" x14ac:dyDescent="0.3">
      <c r="A25">
        <v>1300</v>
      </c>
      <c r="D25" s="4" t="s">
        <v>2088</v>
      </c>
      <c r="E25" s="4" t="s">
        <v>207</v>
      </c>
      <c r="F25" t="s">
        <v>208</v>
      </c>
      <c r="J25" t="str">
        <f>"(i640+i602+i603+i608)+((i605+i606+i607)/"&amp;VLOOKUP("kalkStd_VollAK",Hilfstabelle!C2:D451,2,FALSE)&amp;")"</f>
        <v>(i640+i602+i603+i608)+((i605+i606+i607)/F1900)</v>
      </c>
      <c r="L25" t="s">
        <v>189</v>
      </c>
      <c r="M25" t="str">
        <f>IF($M$4="Arbeitskräfte","","F"&amp;A25&amp;"_"&amp;$M$5)</f>
        <v/>
      </c>
    </row>
    <row r="26" spans="1:13" x14ac:dyDescent="0.3">
      <c r="B26">
        <v>1310</v>
      </c>
      <c r="D26" s="4" t="s">
        <v>2092</v>
      </c>
      <c r="E26" s="4" t="s">
        <v>209</v>
      </c>
      <c r="F26" s="4" t="s">
        <v>209</v>
      </c>
      <c r="J26" t="s">
        <v>210</v>
      </c>
      <c r="L26" t="s">
        <v>189</v>
      </c>
      <c r="M26" t="str">
        <f>IF($M$4="Arbeitskräfte","","F"&amp;B26&amp;"_"&amp;$M$5)</f>
        <v/>
      </c>
    </row>
    <row r="27" spans="1:13" x14ac:dyDescent="0.3">
      <c r="B27">
        <v>1320</v>
      </c>
      <c r="D27" s="4" t="s">
        <v>2089</v>
      </c>
      <c r="E27" s="4" t="s">
        <v>211</v>
      </c>
      <c r="F27" s="4" t="s">
        <v>211</v>
      </c>
      <c r="J27" t="str">
        <f>"i608+(i607/"&amp;VLOOKUP("kalkStd_VollAK",Hilfstabelle!C2:D451,2,FALSE)&amp;")"</f>
        <v>i608+(i607/F1900)</v>
      </c>
      <c r="L27" t="s">
        <v>189</v>
      </c>
      <c r="M27" t="str">
        <f>IF($M$4="Arbeitskräfte","","F"&amp;B27&amp;"_"&amp;$M$5)</f>
        <v/>
      </c>
    </row>
    <row r="28" spans="1:13" x14ac:dyDescent="0.3">
      <c r="B28">
        <v>1330</v>
      </c>
      <c r="D28" s="4" t="s">
        <v>2090</v>
      </c>
      <c r="E28" s="4" t="s">
        <v>212</v>
      </c>
      <c r="F28" s="4" t="s">
        <v>212</v>
      </c>
      <c r="J28" t="str">
        <f>"(i605+i607)/"&amp;VLOOKUP("kalkStd_VollAK",Hilfstabelle!C2:D451,2,FALSE)</f>
        <v>(i605+i607)/F1900</v>
      </c>
      <c r="L28" t="s">
        <v>189</v>
      </c>
      <c r="M28" t="str">
        <f>IF($M$4="Arbeitskräfte","","F"&amp;B28&amp;"_"&amp;$M$5)</f>
        <v/>
      </c>
    </row>
    <row r="29" spans="1:13" x14ac:dyDescent="0.3">
      <c r="C29">
        <v>1331</v>
      </c>
      <c r="D29" s="4" t="s">
        <v>2091</v>
      </c>
      <c r="E29" s="4" t="s">
        <v>213</v>
      </c>
      <c r="F29" s="4" t="s">
        <v>213</v>
      </c>
      <c r="J29" t="s">
        <v>214</v>
      </c>
      <c r="L29" t="s">
        <v>215</v>
      </c>
    </row>
    <row r="30" spans="1:13" x14ac:dyDescent="0.3">
      <c r="D30" s="4"/>
      <c r="E30" s="4"/>
    </row>
    <row r="31" spans="1:13" x14ac:dyDescent="0.3">
      <c r="A31">
        <v>1400</v>
      </c>
      <c r="D31" s="4" t="s">
        <v>803</v>
      </c>
      <c r="E31" s="4"/>
      <c r="I31">
        <v>7210</v>
      </c>
      <c r="L31" t="s">
        <v>215</v>
      </c>
    </row>
    <row r="33" spans="1:12" x14ac:dyDescent="0.3">
      <c r="A33" s="1" t="s">
        <v>222</v>
      </c>
      <c r="B33" s="1"/>
      <c r="C33" s="1"/>
    </row>
    <row r="34" spans="1:12" x14ac:dyDescent="0.3">
      <c r="A34">
        <v>1900</v>
      </c>
      <c r="D34" s="4" t="s">
        <v>221</v>
      </c>
      <c r="E34" t="s">
        <v>1119</v>
      </c>
      <c r="G34" t="s">
        <v>1930</v>
      </c>
      <c r="H34" t="s">
        <v>1931</v>
      </c>
      <c r="L34" t="s">
        <v>215</v>
      </c>
    </row>
  </sheetData>
  <mergeCells count="15">
    <mergeCell ref="A5:C5"/>
    <mergeCell ref="C2:D2"/>
    <mergeCell ref="G1:H1"/>
    <mergeCell ref="I1:J1"/>
    <mergeCell ref="G2:H2"/>
    <mergeCell ref="I2:J2"/>
    <mergeCell ref="G3:H3"/>
    <mergeCell ref="I3:J3"/>
    <mergeCell ref="A1:C1"/>
    <mergeCell ref="M2:R2"/>
    <mergeCell ref="D4:D5"/>
    <mergeCell ref="F4:F5"/>
    <mergeCell ref="G4:G5"/>
    <mergeCell ref="J4:J5"/>
    <mergeCell ref="K4:K5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Hilfstabelle!$P$1:$P$6</xm:f>
          </x14:formula1>
          <xm:sqref>N4</xm:sqref>
        </x14:dataValidation>
        <x14:dataValidation type="list" allowBlank="1" showInputMessage="1" showErrorMessage="1" xr:uid="{00000000-0002-0000-0200-000001000000}">
          <x14:formula1>
            <xm:f>Hilfstabelle!$O$1:$O$2</xm:f>
          </x14:formula1>
          <xm:sqref>M4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7"/>
  <sheetViews>
    <sheetView workbookViewId="0">
      <selection activeCell="D13" sqref="D13"/>
    </sheetView>
  </sheetViews>
  <sheetFormatPr baseColWidth="10" defaultRowHeight="14.4" x14ac:dyDescent="0.3"/>
  <cols>
    <col min="1" max="3" width="5.33203125" customWidth="1"/>
    <col min="4" max="4" width="57.33203125" customWidth="1"/>
    <col min="5" max="5" width="47.6640625" customWidth="1"/>
    <col min="6" max="6" width="40.6640625" customWidth="1"/>
    <col min="7" max="9" width="11.6640625" customWidth="1"/>
    <col min="10" max="10" width="80.6640625" customWidth="1"/>
    <col min="11" max="11" width="22" hidden="1" customWidth="1"/>
    <col min="12" max="12" width="11.6640625" customWidth="1"/>
    <col min="13" max="18" width="16.6640625" customWidth="1"/>
  </cols>
  <sheetData>
    <row r="1" spans="1:18" x14ac:dyDescent="0.3">
      <c r="A1" s="34" t="str">
        <f>HYPERLINK("#Erläuterungen!A1","Erläuterungen")</f>
        <v>Erläuterungen</v>
      </c>
      <c r="B1" s="34"/>
      <c r="C1" s="34"/>
      <c r="G1" s="29" t="s">
        <v>1640</v>
      </c>
      <c r="H1" s="29"/>
      <c r="I1" s="29" t="s">
        <v>0</v>
      </c>
      <c r="J1" s="29"/>
    </row>
    <row r="2" spans="1:18" ht="22.5" customHeight="1" x14ac:dyDescent="0.4">
      <c r="A2" s="27"/>
      <c r="B2" s="27"/>
      <c r="C2" s="27"/>
      <c r="D2" s="25" t="s">
        <v>9</v>
      </c>
      <c r="F2" s="12" t="s">
        <v>1639</v>
      </c>
      <c r="G2" s="29">
        <v>2511</v>
      </c>
      <c r="H2" s="29"/>
      <c r="I2" s="29" t="str">
        <f>IF(G2&gt;0,VLOOKUP("F"&amp;G2,Hilfstabelle!A1:B451,2,FALSE),"")</f>
        <v>Freilandfläche (mit Landwirschaft) in ha</v>
      </c>
      <c r="J2" s="29"/>
      <c r="M2" s="30" t="s">
        <v>2</v>
      </c>
      <c r="N2" s="30"/>
      <c r="O2" s="30"/>
      <c r="P2" s="30"/>
      <c r="Q2" s="30"/>
      <c r="R2" s="30"/>
    </row>
    <row r="3" spans="1:18" x14ac:dyDescent="0.3">
      <c r="C3" s="1"/>
      <c r="D3" s="1"/>
      <c r="E3" s="1"/>
      <c r="F3" s="12" t="s">
        <v>1638</v>
      </c>
      <c r="G3" s="29">
        <v>506</v>
      </c>
      <c r="H3" s="29"/>
      <c r="I3" s="29" t="str">
        <f>IF(G3&gt;0,VLOOKUP(G3,Hilfstabelle!F1:G548,2,FALSE),"")</f>
        <v>Freiland Obst</v>
      </c>
      <c r="J3" s="29"/>
      <c r="K3" s="1"/>
      <c r="L3" s="1"/>
      <c r="M3" s="1"/>
      <c r="N3" s="1"/>
      <c r="O3" s="1"/>
      <c r="P3" s="1"/>
      <c r="Q3" s="1"/>
      <c r="R3" s="1"/>
    </row>
    <row r="4" spans="1:18" x14ac:dyDescent="0.3">
      <c r="D4" s="31" t="s">
        <v>4</v>
      </c>
      <c r="E4" s="2"/>
      <c r="F4" s="31" t="s">
        <v>5</v>
      </c>
      <c r="G4" s="31" t="s">
        <v>6</v>
      </c>
      <c r="H4" s="2"/>
      <c r="I4" s="2"/>
      <c r="J4" s="31" t="s">
        <v>7</v>
      </c>
      <c r="K4" s="31" t="s">
        <v>8</v>
      </c>
      <c r="L4" s="1"/>
      <c r="M4" s="18" t="s">
        <v>185</v>
      </c>
      <c r="N4" s="18" t="s">
        <v>9</v>
      </c>
      <c r="O4" s="3" t="s">
        <v>10</v>
      </c>
      <c r="P4" s="3" t="s">
        <v>11</v>
      </c>
      <c r="Q4" s="3" t="s">
        <v>12</v>
      </c>
      <c r="R4" s="3" t="s">
        <v>13</v>
      </c>
    </row>
    <row r="5" spans="1:18" x14ac:dyDescent="0.3">
      <c r="A5" s="30" t="s">
        <v>3</v>
      </c>
      <c r="B5" s="30"/>
      <c r="C5" s="30"/>
      <c r="D5" s="31"/>
      <c r="E5" s="2" t="s">
        <v>14</v>
      </c>
      <c r="F5" s="31"/>
      <c r="G5" s="31"/>
      <c r="H5" s="2"/>
      <c r="I5" s="2" t="s">
        <v>15</v>
      </c>
      <c r="J5" s="31"/>
      <c r="K5" s="31"/>
      <c r="L5" s="1" t="s">
        <v>16</v>
      </c>
      <c r="M5" s="3" t="str">
        <f>IF(M4="Arbeitskräfte","1000",VLOOKUP(M4,Hilfstabelle!$B$1:$D$435,3,FALSE))</f>
        <v>1000</v>
      </c>
      <c r="N5" s="3" t="str">
        <f>IF(N4="Flächen","2000",VLOOKUP(N4,Hilfstabelle!$B$1:$D$435,3,FALSE))</f>
        <v>2000</v>
      </c>
      <c r="O5" s="3">
        <v>3000</v>
      </c>
      <c r="P5" s="3">
        <v>4000</v>
      </c>
      <c r="Q5" s="3">
        <v>5000</v>
      </c>
      <c r="R5" s="3">
        <v>6000</v>
      </c>
    </row>
    <row r="8" spans="1:18" x14ac:dyDescent="0.3">
      <c r="A8">
        <v>2000</v>
      </c>
      <c r="D8" t="s">
        <v>223</v>
      </c>
      <c r="E8" t="s">
        <v>223</v>
      </c>
      <c r="I8">
        <v>520</v>
      </c>
      <c r="L8" t="s">
        <v>224</v>
      </c>
      <c r="M8" t="str">
        <f>IF($M$4="Arbeitskräfte","",IF(A8&gt;0,"F"&amp;A8&amp;"_"&amp;$M$5,IF(B8&gt;0,"F"&amp;B8&amp;"_"&amp;$M$5,"F"&amp;C8&amp;"_"&amp;$M$5)))</f>
        <v/>
      </c>
    </row>
    <row r="9" spans="1:18" x14ac:dyDescent="0.3">
      <c r="C9">
        <v>2001</v>
      </c>
      <c r="D9" t="s">
        <v>187</v>
      </c>
      <c r="E9" t="s">
        <v>187</v>
      </c>
      <c r="J9" t="str">
        <f>VLOOKUP("Betriebsfläche",Hilfstabelle!C2:D451,2,FALSE)&amp;"/!10000"</f>
        <v>F2000/!10000</v>
      </c>
      <c r="L9" t="s">
        <v>225</v>
      </c>
      <c r="M9" t="str">
        <f t="shared" ref="M9:M74" si="0">IF($M$4="Arbeitskräfte","",IF(A9&gt;0,"F"&amp;A9&amp;"_"&amp;$M$5,IF(B9&gt;0,"F"&amp;B9&amp;"_"&amp;$M$5,"F"&amp;C9&amp;"_"&amp;$M$5)))</f>
        <v/>
      </c>
    </row>
    <row r="10" spans="1:18" x14ac:dyDescent="0.3">
      <c r="A10">
        <v>2100</v>
      </c>
      <c r="D10" t="s">
        <v>226</v>
      </c>
      <c r="I10">
        <v>530</v>
      </c>
      <c r="J10" t="str">
        <f>VLOOKUP("Betriebsfläche",Hilfstabelle!C2:D451,2,FALSE)&amp;"+i521-i522"</f>
        <v>F2000+i521-i522</v>
      </c>
      <c r="L10" t="s">
        <v>224</v>
      </c>
      <c r="M10" t="str">
        <f t="shared" si="0"/>
        <v/>
      </c>
    </row>
    <row r="11" spans="1:18" x14ac:dyDescent="0.3">
      <c r="C11">
        <v>2101</v>
      </c>
      <c r="D11" t="s">
        <v>1642</v>
      </c>
      <c r="L11" t="s">
        <v>225</v>
      </c>
    </row>
    <row r="12" spans="1:18" x14ac:dyDescent="0.3">
      <c r="B12">
        <v>2110</v>
      </c>
      <c r="D12" t="s">
        <v>231</v>
      </c>
      <c r="E12" t="s">
        <v>232</v>
      </c>
      <c r="I12">
        <v>522</v>
      </c>
      <c r="L12" t="s">
        <v>224</v>
      </c>
      <c r="M12" t="str">
        <f t="shared" si="0"/>
        <v/>
      </c>
      <c r="N12" t="str">
        <f>IF($N$4="Flächen","",IF(A12&gt;0,"F"&amp;A12&amp;"_"&amp;$N$5,IF(B12&gt;0,"F"&amp;B12&amp;"_"&amp;$N$5,"F"&amp;C12&amp;"_"&amp;$N$5)))</f>
        <v/>
      </c>
    </row>
    <row r="13" spans="1:18" x14ac:dyDescent="0.3">
      <c r="C13">
        <v>2111</v>
      </c>
      <c r="D13" t="s">
        <v>233</v>
      </c>
      <c r="E13" t="s">
        <v>233</v>
      </c>
      <c r="J13" t="s">
        <v>234</v>
      </c>
      <c r="L13" t="s">
        <v>225</v>
      </c>
      <c r="M13" t="str">
        <f t="shared" si="0"/>
        <v/>
      </c>
    </row>
    <row r="14" spans="1:18" x14ac:dyDescent="0.3">
      <c r="B14">
        <v>2120</v>
      </c>
      <c r="D14" t="s">
        <v>235</v>
      </c>
      <c r="J14" t="s">
        <v>236</v>
      </c>
      <c r="L14" t="s">
        <v>224</v>
      </c>
      <c r="M14" t="str">
        <f t="shared" si="0"/>
        <v/>
      </c>
      <c r="N14" t="str">
        <f t="shared" ref="N14:N69" si="1">IF($N$4="Flächen","",IF(A14&gt;0,"F"&amp;A14&amp;"_"&amp;$N$5,IF(B14&gt;0,"F"&amp;B14&amp;"_"&amp;$N$5,"F"&amp;C14&amp;"_"&amp;$N$5)))</f>
        <v/>
      </c>
    </row>
    <row r="17" spans="1:14" x14ac:dyDescent="0.3">
      <c r="A17">
        <v>2200</v>
      </c>
      <c r="D17" t="s">
        <v>227</v>
      </c>
      <c r="E17" t="s">
        <v>228</v>
      </c>
      <c r="J17" t="str">
        <f>VLOOKUP("Glasfläche",Hilfstabelle!C2:D451,2,FALSE)&amp;"+i503+i504+i505+i506"</f>
        <v>F2400+i503+i504+i505+i506</v>
      </c>
      <c r="L17" t="s">
        <v>224</v>
      </c>
      <c r="M17" t="str">
        <f t="shared" si="0"/>
        <v/>
      </c>
      <c r="N17" t="str">
        <f t="shared" si="1"/>
        <v/>
      </c>
    </row>
    <row r="18" spans="1:14" x14ac:dyDescent="0.3">
      <c r="C18">
        <v>2201</v>
      </c>
      <c r="D18" t="s">
        <v>229</v>
      </c>
      <c r="E18" t="s">
        <v>230</v>
      </c>
      <c r="J18" t="str">
        <f>VLOOKUP("GG",Hilfstabelle!C2:D451,2,FALSE)&amp;"/!10000"</f>
        <v>F2200/!10000</v>
      </c>
      <c r="L18" t="s">
        <v>225</v>
      </c>
      <c r="M18" t="str">
        <f t="shared" si="0"/>
        <v/>
      </c>
    </row>
    <row r="20" spans="1:14" x14ac:dyDescent="0.3">
      <c r="A20">
        <v>2300</v>
      </c>
      <c r="D20" t="s">
        <v>308</v>
      </c>
      <c r="E20" t="s">
        <v>1983</v>
      </c>
      <c r="F20" t="s">
        <v>2093</v>
      </c>
      <c r="J20" t="str">
        <f>"i501+i502+i503+i504+i505+i506+"&amp;VLOOKUP("Fläche LW in m²",Hilfstabelle!C2:D451,2,FALSE)</f>
        <v>i501+i502+i503+i504+i505+i506+F2600</v>
      </c>
      <c r="L20" t="s">
        <v>224</v>
      </c>
      <c r="M20" t="str">
        <f t="shared" si="0"/>
        <v/>
      </c>
      <c r="N20" t="str">
        <f t="shared" si="1"/>
        <v/>
      </c>
    </row>
    <row r="21" spans="1:14" x14ac:dyDescent="0.3">
      <c r="C21">
        <v>2301</v>
      </c>
      <c r="D21" t="s">
        <v>310</v>
      </c>
      <c r="E21" t="s">
        <v>1985</v>
      </c>
      <c r="F21" t="s">
        <v>2105</v>
      </c>
      <c r="J21" t="str">
        <f>VLOOKUP("Flächen Eigenproduktion",Hilfstabelle!C2:D451,2,FALSE)&amp;"/!10000"</f>
        <v>F2300/!10000</v>
      </c>
      <c r="L21" t="s">
        <v>225</v>
      </c>
      <c r="M21" t="str">
        <f t="shared" si="0"/>
        <v/>
      </c>
    </row>
    <row r="23" spans="1:14" x14ac:dyDescent="0.3">
      <c r="A23">
        <v>2400</v>
      </c>
      <c r="D23" t="s">
        <v>239</v>
      </c>
      <c r="E23" t="s">
        <v>239</v>
      </c>
      <c r="F23" t="s">
        <v>1971</v>
      </c>
      <c r="J23" t="s">
        <v>240</v>
      </c>
      <c r="L23" t="s">
        <v>224</v>
      </c>
      <c r="M23" t="str">
        <f t="shared" si="0"/>
        <v/>
      </c>
      <c r="N23" t="str">
        <f t="shared" si="1"/>
        <v/>
      </c>
    </row>
    <row r="24" spans="1:14" x14ac:dyDescent="0.3">
      <c r="C24">
        <v>2401</v>
      </c>
      <c r="D24" t="s">
        <v>1965</v>
      </c>
      <c r="E24" t="s">
        <v>1965</v>
      </c>
      <c r="J24" t="s">
        <v>2130</v>
      </c>
      <c r="L24" t="s">
        <v>225</v>
      </c>
      <c r="M24" t="str">
        <f t="shared" ref="M24" si="2">IF($M$4="Arbeitskräfte","",IF(A24&gt;0,"F"&amp;A24&amp;"_"&amp;$M$5,IF(B24&gt;0,"F"&amp;B24&amp;"_"&amp;$M$5,"F"&amp;C24&amp;"_"&amp;$M$5)))</f>
        <v/>
      </c>
      <c r="N24" t="str">
        <f t="shared" ref="N24" si="3">IF($N$4="Flächen","",IF(A24&gt;0,"F"&amp;A24&amp;"_"&amp;$N$5,IF(B24&gt;0,"F"&amp;B24&amp;"_"&amp;$N$5,"F"&amp;C24&amp;"_"&amp;$N$5)))</f>
        <v/>
      </c>
    </row>
    <row r="25" spans="1:14" x14ac:dyDescent="0.3">
      <c r="B25">
        <v>2410</v>
      </c>
      <c r="D25" t="s">
        <v>242</v>
      </c>
      <c r="E25" t="s">
        <v>243</v>
      </c>
      <c r="J25" t="s">
        <v>244</v>
      </c>
      <c r="L25" t="s">
        <v>224</v>
      </c>
      <c r="M25" t="str">
        <f t="shared" si="0"/>
        <v/>
      </c>
      <c r="N25" t="str">
        <f t="shared" si="1"/>
        <v/>
      </c>
    </row>
    <row r="26" spans="1:14" x14ac:dyDescent="0.3">
      <c r="B26">
        <v>2420</v>
      </c>
      <c r="D26" t="s">
        <v>241</v>
      </c>
      <c r="E26" t="s">
        <v>241</v>
      </c>
      <c r="I26">
        <v>501</v>
      </c>
      <c r="L26" t="s">
        <v>224</v>
      </c>
      <c r="M26" t="str">
        <f t="shared" ref="M26" si="4">IF($M$4="Arbeitskräfte","",IF(A26&gt;0,"F"&amp;A26&amp;"_"&amp;$M$5,IF(B26&gt;0,"F"&amp;B26&amp;"_"&amp;$M$5,"F"&amp;C26&amp;"_"&amp;$M$5)))</f>
        <v/>
      </c>
      <c r="N26" t="str">
        <f t="shared" ref="N26" si="5">IF($N$4="Flächen","",IF(A26&gt;0,"F"&amp;A26&amp;"_"&amp;$N$5,IF(B26&gt;0,"F"&amp;B26&amp;"_"&amp;$N$5,"F"&amp;C26&amp;"_"&amp;$N$5)))</f>
        <v/>
      </c>
    </row>
    <row r="27" spans="1:14" x14ac:dyDescent="0.3">
      <c r="C27">
        <v>2421</v>
      </c>
      <c r="D27" t="s">
        <v>245</v>
      </c>
      <c r="E27" t="s">
        <v>245</v>
      </c>
      <c r="J27" t="s">
        <v>246</v>
      </c>
      <c r="L27" t="s">
        <v>225</v>
      </c>
      <c r="M27" t="str">
        <f t="shared" si="0"/>
        <v/>
      </c>
    </row>
    <row r="28" spans="1:14" x14ac:dyDescent="0.3">
      <c r="B28">
        <v>2430</v>
      </c>
      <c r="D28" t="s">
        <v>317</v>
      </c>
      <c r="I28">
        <v>502</v>
      </c>
      <c r="L28" t="s">
        <v>224</v>
      </c>
      <c r="M28" t="str">
        <f t="shared" si="0"/>
        <v/>
      </c>
      <c r="N28" t="str">
        <f t="shared" si="1"/>
        <v/>
      </c>
    </row>
    <row r="29" spans="1:14" x14ac:dyDescent="0.3">
      <c r="C29">
        <v>2431</v>
      </c>
      <c r="D29" t="s">
        <v>247</v>
      </c>
      <c r="E29" t="s">
        <v>247</v>
      </c>
      <c r="J29" t="s">
        <v>248</v>
      </c>
      <c r="L29" t="s">
        <v>225</v>
      </c>
      <c r="M29" t="str">
        <f t="shared" si="0"/>
        <v/>
      </c>
    </row>
    <row r="31" spans="1:14" x14ac:dyDescent="0.3">
      <c r="A31">
        <v>2500</v>
      </c>
      <c r="D31" t="s">
        <v>2107</v>
      </c>
      <c r="E31" t="s">
        <v>262</v>
      </c>
      <c r="F31" t="s">
        <v>262</v>
      </c>
      <c r="J31" t="str">
        <f>"i503+i504+i505+i506+"&amp;VLOOKUP("Fläche LW in m²",Hilfstabelle!C2:D451,2,FALSE)</f>
        <v>i503+i504+i505+i506+F2600</v>
      </c>
      <c r="L31" t="s">
        <v>224</v>
      </c>
      <c r="M31" t="str">
        <f t="shared" si="0"/>
        <v/>
      </c>
      <c r="N31" t="str">
        <f t="shared" si="1"/>
        <v/>
      </c>
    </row>
    <row r="32" spans="1:14" x14ac:dyDescent="0.3">
      <c r="C32">
        <v>2501</v>
      </c>
      <c r="D32" t="s">
        <v>2108</v>
      </c>
      <c r="E32" t="s">
        <v>2106</v>
      </c>
      <c r="F32" t="s">
        <v>1643</v>
      </c>
      <c r="J32" t="str">
        <f>VLOOKUP("Fläche Freiland-Produktion insgesamt",Hilfstabelle!C2:D451,2,FALSE)&amp;"/!10000"</f>
        <v>F2500/!10000</v>
      </c>
      <c r="L32" t="s">
        <v>225</v>
      </c>
      <c r="M32" t="str">
        <f t="shared" si="0"/>
        <v/>
      </c>
    </row>
    <row r="33" spans="2:22" x14ac:dyDescent="0.3">
      <c r="B33">
        <v>2510</v>
      </c>
      <c r="D33" t="s">
        <v>252</v>
      </c>
      <c r="E33" t="s">
        <v>253</v>
      </c>
      <c r="J33" t="s">
        <v>254</v>
      </c>
      <c r="L33" t="s">
        <v>224</v>
      </c>
      <c r="M33" t="str">
        <f t="shared" si="0"/>
        <v/>
      </c>
      <c r="N33" t="str">
        <f t="shared" si="1"/>
        <v/>
      </c>
    </row>
    <row r="34" spans="2:22" x14ac:dyDescent="0.3">
      <c r="C34">
        <v>2511</v>
      </c>
      <c r="D34" t="s">
        <v>2061</v>
      </c>
      <c r="E34" t="s">
        <v>2062</v>
      </c>
      <c r="J34" t="str">
        <f>VLOOKUP("Fläche Freiland gewachsen",Hilfstabelle!C2:D451,2,FALSE)&amp;"/!10000"</f>
        <v>F2510/!10000</v>
      </c>
      <c r="L34" t="s">
        <v>225</v>
      </c>
      <c r="M34" t="str">
        <f t="shared" si="0"/>
        <v/>
      </c>
    </row>
    <row r="35" spans="2:22" x14ac:dyDescent="0.3">
      <c r="B35">
        <v>2520</v>
      </c>
      <c r="D35" t="s">
        <v>249</v>
      </c>
      <c r="E35" t="s">
        <v>250</v>
      </c>
      <c r="J35" t="s">
        <v>251</v>
      </c>
      <c r="L35" t="s">
        <v>224</v>
      </c>
      <c r="M35" t="str">
        <f t="shared" si="0"/>
        <v/>
      </c>
      <c r="N35" t="str">
        <f t="shared" si="1"/>
        <v/>
      </c>
    </row>
    <row r="37" spans="2:22" x14ac:dyDescent="0.3">
      <c r="B37">
        <v>2530</v>
      </c>
      <c r="D37" t="s">
        <v>264</v>
      </c>
      <c r="E37" t="s">
        <v>264</v>
      </c>
      <c r="J37" t="s">
        <v>265</v>
      </c>
      <c r="L37" t="s">
        <v>224</v>
      </c>
      <c r="M37" t="str">
        <f t="shared" si="0"/>
        <v/>
      </c>
      <c r="N37" t="str">
        <f t="shared" si="1"/>
        <v/>
      </c>
    </row>
    <row r="38" spans="2:22" x14ac:dyDescent="0.3">
      <c r="C38">
        <v>2531</v>
      </c>
      <c r="D38" t="s">
        <v>292</v>
      </c>
      <c r="E38" t="s">
        <v>292</v>
      </c>
      <c r="J38" t="s">
        <v>293</v>
      </c>
      <c r="L38" t="s">
        <v>224</v>
      </c>
      <c r="M38" t="str">
        <f t="shared" si="0"/>
        <v/>
      </c>
      <c r="N38" t="str">
        <f t="shared" si="1"/>
        <v/>
      </c>
    </row>
    <row r="39" spans="2:22" x14ac:dyDescent="0.3">
      <c r="C39">
        <v>2532</v>
      </c>
      <c r="D39" t="s">
        <v>289</v>
      </c>
      <c r="E39" t="s">
        <v>290</v>
      </c>
      <c r="J39" t="s">
        <v>291</v>
      </c>
      <c r="L39" t="s">
        <v>225</v>
      </c>
      <c r="M39" t="str">
        <f t="shared" si="0"/>
        <v/>
      </c>
    </row>
    <row r="40" spans="2:22" x14ac:dyDescent="0.3">
      <c r="C40">
        <v>2533</v>
      </c>
      <c r="D40" t="s">
        <v>286</v>
      </c>
      <c r="E40" t="s">
        <v>287</v>
      </c>
      <c r="J40" t="s">
        <v>288</v>
      </c>
      <c r="L40" t="s">
        <v>225</v>
      </c>
      <c r="M40" t="str">
        <f t="shared" si="0"/>
        <v/>
      </c>
    </row>
    <row r="42" spans="2:22" x14ac:dyDescent="0.3">
      <c r="B42">
        <v>2540</v>
      </c>
      <c r="D42" t="s">
        <v>263</v>
      </c>
      <c r="E42" t="s">
        <v>263</v>
      </c>
      <c r="J42" t="str">
        <f>"i504+"&amp;VLOOKUP("Glasfl. O. Zierpfl. Glasfl.",Hilfstabelle!C2:D451,2,FALSE)</f>
        <v>i504+F2410</v>
      </c>
      <c r="L42" t="s">
        <v>224</v>
      </c>
      <c r="M42" t="str">
        <f t="shared" si="0"/>
        <v/>
      </c>
      <c r="N42" t="str">
        <f t="shared" si="1"/>
        <v/>
      </c>
      <c r="V42" t="s">
        <v>224</v>
      </c>
    </row>
    <row r="43" spans="2:22" x14ac:dyDescent="0.3">
      <c r="C43">
        <v>2541</v>
      </c>
      <c r="D43" t="s">
        <v>283</v>
      </c>
      <c r="E43" t="s">
        <v>284</v>
      </c>
      <c r="J43" t="s">
        <v>285</v>
      </c>
      <c r="L43" t="s">
        <v>225</v>
      </c>
      <c r="M43" t="str">
        <f t="shared" si="0"/>
        <v/>
      </c>
      <c r="V43" t="s">
        <v>224</v>
      </c>
    </row>
    <row r="44" spans="2:22" x14ac:dyDescent="0.3">
      <c r="V44" t="s">
        <v>224</v>
      </c>
    </row>
    <row r="45" spans="2:22" x14ac:dyDescent="0.3">
      <c r="B45">
        <v>2550</v>
      </c>
      <c r="D45" t="s">
        <v>255</v>
      </c>
      <c r="E45" t="s">
        <v>256</v>
      </c>
      <c r="J45" t="str">
        <f>"i505+"&amp;VLOOKUP("Glasfl. O. Zierpfl. Glasfl.",Hilfstabelle!C2:D451,2,FALSE)</f>
        <v>i505+F2410</v>
      </c>
      <c r="L45" t="s">
        <v>224</v>
      </c>
      <c r="M45" t="str">
        <f t="shared" si="0"/>
        <v/>
      </c>
      <c r="N45" t="str">
        <f t="shared" si="1"/>
        <v/>
      </c>
      <c r="V45" t="s">
        <v>224</v>
      </c>
    </row>
    <row r="46" spans="2:22" x14ac:dyDescent="0.3">
      <c r="C46">
        <v>2551</v>
      </c>
      <c r="D46" t="s">
        <v>257</v>
      </c>
      <c r="E46" t="s">
        <v>258</v>
      </c>
      <c r="J46" t="s">
        <v>259</v>
      </c>
      <c r="L46" t="s">
        <v>225</v>
      </c>
      <c r="M46" t="str">
        <f t="shared" si="0"/>
        <v/>
      </c>
      <c r="V46" t="s">
        <v>224</v>
      </c>
    </row>
    <row r="47" spans="2:22" x14ac:dyDescent="0.3">
      <c r="V47" t="s">
        <v>224</v>
      </c>
    </row>
    <row r="48" spans="2:22" x14ac:dyDescent="0.3">
      <c r="B48">
        <v>2560</v>
      </c>
      <c r="D48" t="s">
        <v>318</v>
      </c>
      <c r="I48">
        <v>506</v>
      </c>
      <c r="L48" t="s">
        <v>224</v>
      </c>
      <c r="M48" t="str">
        <f t="shared" si="0"/>
        <v/>
      </c>
      <c r="N48" t="str">
        <f t="shared" si="1"/>
        <v/>
      </c>
    </row>
    <row r="49" spans="1:14" x14ac:dyDescent="0.3">
      <c r="C49">
        <v>2561</v>
      </c>
      <c r="D49" t="s">
        <v>266</v>
      </c>
      <c r="E49" t="s">
        <v>267</v>
      </c>
      <c r="J49" t="s">
        <v>268</v>
      </c>
      <c r="L49" t="s">
        <v>225</v>
      </c>
      <c r="M49" t="str">
        <f t="shared" si="0"/>
        <v/>
      </c>
    </row>
    <row r="50" spans="1:14" x14ac:dyDescent="0.3">
      <c r="C50">
        <v>2562</v>
      </c>
      <c r="D50" t="s">
        <v>269</v>
      </c>
      <c r="E50" t="s">
        <v>269</v>
      </c>
      <c r="J50" t="s">
        <v>270</v>
      </c>
      <c r="L50" t="s">
        <v>225</v>
      </c>
      <c r="M50" t="str">
        <f t="shared" si="0"/>
        <v/>
      </c>
    </row>
    <row r="51" spans="1:14" x14ac:dyDescent="0.3">
      <c r="C51">
        <v>2563</v>
      </c>
      <c r="D51" t="s">
        <v>275</v>
      </c>
      <c r="E51" t="s">
        <v>275</v>
      </c>
      <c r="J51" t="s">
        <v>276</v>
      </c>
      <c r="L51" t="s">
        <v>225</v>
      </c>
      <c r="M51" t="str">
        <f t="shared" si="0"/>
        <v/>
      </c>
    </row>
    <row r="52" spans="1:14" x14ac:dyDescent="0.3">
      <c r="C52">
        <v>2564</v>
      </c>
      <c r="D52" t="s">
        <v>277</v>
      </c>
      <c r="E52" t="s">
        <v>277</v>
      </c>
      <c r="J52" t="s">
        <v>278</v>
      </c>
      <c r="L52" t="s">
        <v>225</v>
      </c>
      <c r="M52" t="str">
        <f t="shared" si="0"/>
        <v/>
      </c>
    </row>
    <row r="53" spans="1:14" x14ac:dyDescent="0.3">
      <c r="C53">
        <v>2565</v>
      </c>
      <c r="D53" t="s">
        <v>260</v>
      </c>
      <c r="E53" t="s">
        <v>260</v>
      </c>
      <c r="J53" t="s">
        <v>261</v>
      </c>
      <c r="L53" t="s">
        <v>225</v>
      </c>
      <c r="M53" t="str">
        <f t="shared" si="0"/>
        <v/>
      </c>
    </row>
    <row r="54" spans="1:14" x14ac:dyDescent="0.3">
      <c r="C54">
        <v>2566</v>
      </c>
      <c r="D54" t="s">
        <v>271</v>
      </c>
      <c r="E54" t="s">
        <v>271</v>
      </c>
      <c r="J54" t="s">
        <v>272</v>
      </c>
      <c r="L54" t="s">
        <v>225</v>
      </c>
      <c r="M54" t="str">
        <f t="shared" si="0"/>
        <v/>
      </c>
    </row>
    <row r="55" spans="1:14" x14ac:dyDescent="0.3">
      <c r="C55">
        <v>2567</v>
      </c>
      <c r="D55" t="s">
        <v>273</v>
      </c>
      <c r="E55" t="s">
        <v>273</v>
      </c>
      <c r="J55" t="s">
        <v>274</v>
      </c>
      <c r="L55" t="s">
        <v>225</v>
      </c>
      <c r="M55" t="str">
        <f t="shared" si="0"/>
        <v/>
      </c>
    </row>
    <row r="56" spans="1:14" x14ac:dyDescent="0.3">
      <c r="C56">
        <v>2568</v>
      </c>
      <c r="D56" t="s">
        <v>281</v>
      </c>
      <c r="E56" t="s">
        <v>281</v>
      </c>
      <c r="J56" t="s">
        <v>282</v>
      </c>
      <c r="L56" t="s">
        <v>225</v>
      </c>
      <c r="M56" t="str">
        <f t="shared" si="0"/>
        <v/>
      </c>
      <c r="N56" t="str">
        <f t="shared" si="1"/>
        <v/>
      </c>
    </row>
    <row r="58" spans="1:14" x14ac:dyDescent="0.3">
      <c r="B58">
        <v>2570</v>
      </c>
      <c r="D58" t="s">
        <v>279</v>
      </c>
      <c r="E58" t="s">
        <v>279</v>
      </c>
      <c r="J58" t="s">
        <v>280</v>
      </c>
      <c r="L58" t="s">
        <v>224</v>
      </c>
      <c r="M58" t="str">
        <f t="shared" si="0"/>
        <v/>
      </c>
      <c r="N58" t="str">
        <f t="shared" si="1"/>
        <v/>
      </c>
    </row>
    <row r="59" spans="1:14" x14ac:dyDescent="0.3">
      <c r="C59">
        <v>2571</v>
      </c>
      <c r="D59" t="s">
        <v>2057</v>
      </c>
      <c r="E59" t="s">
        <v>2057</v>
      </c>
      <c r="J59" t="str">
        <f>VLOOKUP("Containerfläche",Hilfstabelle!C2:D451,2,FALSE)&amp;"/!10000"</f>
        <v>F2570/!10000</v>
      </c>
      <c r="L59" t="s">
        <v>225</v>
      </c>
      <c r="M59" t="str">
        <f t="shared" si="0"/>
        <v/>
      </c>
    </row>
    <row r="61" spans="1:14" x14ac:dyDescent="0.3">
      <c r="A61">
        <v>2600</v>
      </c>
      <c r="D61" t="s">
        <v>294</v>
      </c>
      <c r="E61" t="s">
        <v>295</v>
      </c>
      <c r="J61" t="s">
        <v>296</v>
      </c>
      <c r="L61" t="s">
        <v>224</v>
      </c>
      <c r="M61" t="str">
        <f t="shared" si="0"/>
        <v/>
      </c>
      <c r="N61" t="str">
        <f t="shared" si="1"/>
        <v/>
      </c>
    </row>
    <row r="62" spans="1:14" x14ac:dyDescent="0.3">
      <c r="C62">
        <v>2601</v>
      </c>
      <c r="D62" t="s">
        <v>297</v>
      </c>
      <c r="E62" t="s">
        <v>298</v>
      </c>
      <c r="J62" t="str">
        <f>VLOOKUP("Fläche LW in m²",Hilfstabelle!C2:D451,2,FALSE)&amp;"/!10000"</f>
        <v>F2600/!10000</v>
      </c>
      <c r="L62" t="s">
        <v>225</v>
      </c>
      <c r="M62" t="str">
        <f t="shared" si="0"/>
        <v/>
      </c>
    </row>
    <row r="63" spans="1:14" x14ac:dyDescent="0.3">
      <c r="B63">
        <v>2620</v>
      </c>
      <c r="D63" t="s">
        <v>1911</v>
      </c>
      <c r="E63" t="s">
        <v>299</v>
      </c>
      <c r="J63" t="str">
        <f>VLOOKUP("GG",Hilfstabelle!C2:D451,2,FALSE)&amp;"+"&amp;VLOOKUP("Fläche LW in m²",Hilfstabelle!C2:D451,2,FALSE)</f>
        <v>F2200+F2600</v>
      </c>
      <c r="L63" t="s">
        <v>224</v>
      </c>
      <c r="M63" t="str">
        <f t="shared" si="0"/>
        <v/>
      </c>
      <c r="N63" t="str">
        <f t="shared" si="1"/>
        <v/>
      </c>
    </row>
    <row r="64" spans="1:14" x14ac:dyDescent="0.3">
      <c r="B64">
        <v>2630</v>
      </c>
      <c r="D64" t="s">
        <v>1644</v>
      </c>
      <c r="L64" t="s">
        <v>224</v>
      </c>
      <c r="M64" t="str">
        <f t="shared" si="0"/>
        <v/>
      </c>
      <c r="N64" t="str">
        <f t="shared" si="1"/>
        <v/>
      </c>
    </row>
    <row r="65" spans="1:14" x14ac:dyDescent="0.3">
      <c r="C65">
        <v>2631</v>
      </c>
      <c r="D65" t="s">
        <v>300</v>
      </c>
      <c r="E65" t="s">
        <v>300</v>
      </c>
      <c r="J65" t="s">
        <v>301</v>
      </c>
      <c r="L65" t="s">
        <v>225</v>
      </c>
      <c r="M65" t="str">
        <f t="shared" si="0"/>
        <v/>
      </c>
    </row>
    <row r="67" spans="1:14" x14ac:dyDescent="0.3">
      <c r="A67">
        <v>2700</v>
      </c>
      <c r="D67" t="s">
        <v>302</v>
      </c>
      <c r="E67" t="s">
        <v>302</v>
      </c>
      <c r="J67" t="s">
        <v>303</v>
      </c>
      <c r="L67" t="s">
        <v>224</v>
      </c>
      <c r="M67" t="str">
        <f t="shared" si="0"/>
        <v/>
      </c>
      <c r="N67" t="str">
        <f t="shared" si="1"/>
        <v/>
      </c>
    </row>
    <row r="68" spans="1:14" x14ac:dyDescent="0.3">
      <c r="B68">
        <v>2710</v>
      </c>
      <c r="D68" t="s">
        <v>304</v>
      </c>
      <c r="E68" t="s">
        <v>305</v>
      </c>
      <c r="I68">
        <v>508</v>
      </c>
      <c r="L68" t="s">
        <v>224</v>
      </c>
      <c r="M68" t="str">
        <f t="shared" si="0"/>
        <v/>
      </c>
      <c r="N68" t="str">
        <f t="shared" si="1"/>
        <v/>
      </c>
    </row>
    <row r="69" spans="1:14" ht="21" customHeight="1" x14ac:dyDescent="0.3">
      <c r="B69">
        <v>2720</v>
      </c>
      <c r="D69" t="s">
        <v>306</v>
      </c>
      <c r="E69" t="s">
        <v>307</v>
      </c>
      <c r="I69">
        <v>509</v>
      </c>
      <c r="L69" t="s">
        <v>224</v>
      </c>
      <c r="M69" t="str">
        <f t="shared" si="0"/>
        <v/>
      </c>
      <c r="N69" t="str">
        <f t="shared" si="1"/>
        <v/>
      </c>
    </row>
    <row r="72" spans="1:14" x14ac:dyDescent="0.3">
      <c r="A72" s="30" t="s">
        <v>550</v>
      </c>
      <c r="B72" s="30"/>
      <c r="C72" s="30"/>
      <c r="D72" s="30"/>
    </row>
    <row r="73" spans="1:14" x14ac:dyDescent="0.3">
      <c r="A73">
        <v>2800</v>
      </c>
      <c r="D73" t="s">
        <v>311</v>
      </c>
      <c r="E73" t="s">
        <v>311</v>
      </c>
      <c r="J73" t="str">
        <f>"i541*!20+i542*!10+(i501-i541)*!9+(i502-i542)*!7+(i503-i583)*!2+i583*!4+i504*!1+(i505-i584)*!1+i584*!4+i506*!1+"&amp;VLOOKUP("Fläche LW in m²",Hilfstabelle!C2:D451,2,FALSE)&amp;"*!0,2"</f>
        <v>i541*!20+i542*!10+(i501-i541)*!9+(i502-i542)*!7+(i503-i583)*!2+i583*!4+i504*!1+(i505-i584)*!1+i584*!4+i506*!1+F2600*!0,2</v>
      </c>
      <c r="L73" t="s">
        <v>311</v>
      </c>
      <c r="M73" t="str">
        <f t="shared" si="0"/>
        <v/>
      </c>
    </row>
    <row r="74" spans="1:14" x14ac:dyDescent="0.3">
      <c r="B74">
        <v>2810</v>
      </c>
      <c r="D74" t="s">
        <v>314</v>
      </c>
      <c r="E74" t="s">
        <v>315</v>
      </c>
      <c r="J74" t="s">
        <v>316</v>
      </c>
      <c r="L74" t="s">
        <v>315</v>
      </c>
      <c r="M74" t="str">
        <f t="shared" si="0"/>
        <v/>
      </c>
    </row>
    <row r="75" spans="1:14" x14ac:dyDescent="0.3">
      <c r="B75">
        <v>2820</v>
      </c>
      <c r="D75" t="s">
        <v>312</v>
      </c>
      <c r="E75" t="s">
        <v>312</v>
      </c>
      <c r="J75" t="s">
        <v>313</v>
      </c>
      <c r="L75" t="s">
        <v>1120</v>
      </c>
      <c r="M75" t="str">
        <f t="shared" ref="M75" si="6">IF($M$4="Arbeitskräfte","",IF(A75&gt;0,"F"&amp;A75&amp;"_"&amp;$M$5,IF(B75&gt;0,"F"&amp;B75&amp;"_"&amp;$M$5,"F"&amp;C75&amp;"_"&amp;$M$5)))</f>
        <v/>
      </c>
    </row>
    <row r="77" spans="1:14" x14ac:dyDescent="0.3">
      <c r="A77" s="1"/>
      <c r="B77" s="1"/>
      <c r="C77" s="1"/>
      <c r="D77" s="1"/>
    </row>
  </sheetData>
  <mergeCells count="15">
    <mergeCell ref="M2:R2"/>
    <mergeCell ref="K4:K5"/>
    <mergeCell ref="A72:D72"/>
    <mergeCell ref="G1:H1"/>
    <mergeCell ref="I1:J1"/>
    <mergeCell ref="G2:H2"/>
    <mergeCell ref="I2:J2"/>
    <mergeCell ref="G3:H3"/>
    <mergeCell ref="I3:J3"/>
    <mergeCell ref="A5:C5"/>
    <mergeCell ref="D4:D5"/>
    <mergeCell ref="F4:F5"/>
    <mergeCell ref="G4:G5"/>
    <mergeCell ref="J4:J5"/>
    <mergeCell ref="A1:C1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Hilfstabelle!$P$1:$P$2</xm:f>
          </x14:formula1>
          <xm:sqref>N4</xm:sqref>
        </x14:dataValidation>
        <x14:dataValidation type="list" allowBlank="1" showInputMessage="1" showErrorMessage="1" xr:uid="{00000000-0002-0000-0300-000001000000}">
          <x14:formula1>
            <xm:f>Hilfstabelle!$O$1:$O$2</xm:f>
          </x14:formula1>
          <xm:sqref>M4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43"/>
  <sheetViews>
    <sheetView workbookViewId="0">
      <selection activeCell="J19" sqref="J19"/>
    </sheetView>
  </sheetViews>
  <sheetFormatPr baseColWidth="10" defaultRowHeight="14.4" x14ac:dyDescent="0.3"/>
  <cols>
    <col min="1" max="3" width="5.33203125" customWidth="1"/>
    <col min="4" max="4" width="57.33203125" customWidth="1"/>
    <col min="5" max="5" width="47.6640625" customWidth="1"/>
    <col min="6" max="6" width="40.6640625" customWidth="1"/>
    <col min="7" max="8" width="11.6640625" customWidth="1"/>
    <col min="9" max="9" width="11.6640625" style="4" customWidth="1"/>
    <col min="10" max="10" width="80.6640625" customWidth="1"/>
    <col min="11" max="11" width="7.5546875" hidden="1" customWidth="1"/>
    <col min="12" max="12" width="11.6640625" customWidth="1"/>
    <col min="13" max="18" width="16.6640625" customWidth="1"/>
  </cols>
  <sheetData>
    <row r="1" spans="1:18" x14ac:dyDescent="0.3">
      <c r="A1" s="34" t="str">
        <f>HYPERLINK("#Erläuterungen!A1","Erläuterungen")</f>
        <v>Erläuterungen</v>
      </c>
      <c r="B1" s="34"/>
      <c r="C1" s="34"/>
      <c r="G1" s="29" t="s">
        <v>1640</v>
      </c>
      <c r="H1" s="29"/>
      <c r="I1" s="29" t="s">
        <v>0</v>
      </c>
      <c r="J1" s="29"/>
    </row>
    <row r="2" spans="1:18" ht="21" x14ac:dyDescent="0.4">
      <c r="C2" s="27"/>
      <c r="D2" s="25" t="s">
        <v>1</v>
      </c>
      <c r="F2" s="12" t="s">
        <v>1639</v>
      </c>
      <c r="G2" s="29"/>
      <c r="H2" s="29"/>
      <c r="I2" s="29" t="str">
        <f>IF(G2&gt;0,VLOOKUP("F"&amp;G2,Hilfstabelle!A1:B451,2,FALSE),"")</f>
        <v/>
      </c>
      <c r="J2" s="29"/>
      <c r="M2" s="30" t="s">
        <v>2</v>
      </c>
      <c r="N2" s="30"/>
      <c r="O2" s="30"/>
      <c r="P2" s="30"/>
      <c r="Q2" s="30"/>
      <c r="R2" s="30"/>
    </row>
    <row r="3" spans="1:18" x14ac:dyDescent="0.3">
      <c r="B3" s="1"/>
      <c r="C3" s="1"/>
      <c r="D3" s="1"/>
      <c r="E3" s="1"/>
      <c r="F3" s="12" t="s">
        <v>1638</v>
      </c>
      <c r="G3" s="29">
        <v>314</v>
      </c>
      <c r="H3" s="29"/>
      <c r="I3" s="29" t="str">
        <f>IF(G3&gt;0,VLOOKUP(G3,Hilfstabelle!F1:G548,2,FALSE),"")</f>
        <v>Gemüse Pilze</v>
      </c>
      <c r="J3" s="29"/>
      <c r="K3" s="1"/>
      <c r="L3" s="1"/>
      <c r="M3" s="1"/>
      <c r="N3" s="1"/>
      <c r="O3" s="1"/>
      <c r="P3" s="1"/>
      <c r="Q3" s="1"/>
      <c r="R3" s="1"/>
    </row>
    <row r="4" spans="1:18" x14ac:dyDescent="0.3">
      <c r="A4" s="30" t="s">
        <v>3</v>
      </c>
      <c r="B4" s="30"/>
      <c r="C4" s="30"/>
      <c r="D4" s="31" t="s">
        <v>4</v>
      </c>
      <c r="E4" s="2"/>
      <c r="F4" s="31" t="s">
        <v>5</v>
      </c>
      <c r="G4" s="31" t="s">
        <v>6</v>
      </c>
      <c r="H4" s="2"/>
      <c r="I4" s="2"/>
      <c r="J4" s="31" t="s">
        <v>7</v>
      </c>
      <c r="K4" s="31" t="s">
        <v>8</v>
      </c>
      <c r="L4" s="1"/>
      <c r="M4" s="18" t="s">
        <v>185</v>
      </c>
      <c r="N4" s="18" t="s">
        <v>9</v>
      </c>
      <c r="O4" s="18" t="s">
        <v>10</v>
      </c>
      <c r="P4" s="3" t="s">
        <v>11</v>
      </c>
      <c r="Q4" s="3" t="s">
        <v>12</v>
      </c>
      <c r="R4" s="3" t="s">
        <v>13</v>
      </c>
    </row>
    <row r="5" spans="1:18" x14ac:dyDescent="0.3">
      <c r="A5" s="30"/>
      <c r="B5" s="30"/>
      <c r="C5" s="30"/>
      <c r="D5" s="31"/>
      <c r="E5" s="2" t="s">
        <v>14</v>
      </c>
      <c r="F5" s="31"/>
      <c r="G5" s="31"/>
      <c r="H5" s="2"/>
      <c r="I5" s="2" t="s">
        <v>15</v>
      </c>
      <c r="J5" s="31"/>
      <c r="K5" s="31"/>
      <c r="L5" s="1" t="s">
        <v>16</v>
      </c>
      <c r="M5" s="3" t="str">
        <f>IF(M4="Arbeitskräfte","1000",VLOOKUP(M4,Hilfstabelle!$B$1:$D$435,3,FALSE))</f>
        <v>1000</v>
      </c>
      <c r="N5" s="3" t="str">
        <f>IF(N4="Flächen","2000",VLOOKUP(N4,Hilfstabelle!$B$1:$D$435,3,FALSE))</f>
        <v>2000</v>
      </c>
      <c r="O5" s="3" t="str">
        <f>IF(O4="Ertrag","3000",VLOOKUP(O4,Hilfstabelle!$B$1:$D$435,3,FALSE))</f>
        <v>3000</v>
      </c>
      <c r="P5" s="3">
        <v>4000</v>
      </c>
      <c r="Q5" s="3">
        <v>5000</v>
      </c>
      <c r="R5" s="3">
        <v>6000</v>
      </c>
    </row>
    <row r="8" spans="1:18" x14ac:dyDescent="0.3">
      <c r="A8">
        <v>3000</v>
      </c>
      <c r="D8" t="s">
        <v>17</v>
      </c>
      <c r="E8" t="s">
        <v>18</v>
      </c>
      <c r="J8" t="s">
        <v>19</v>
      </c>
      <c r="L8" t="s">
        <v>20</v>
      </c>
      <c r="M8" t="str">
        <f>IF($M$4="Arbeitskräfte","",IF($A8&gt;0,"F"&amp;$A8&amp;"_"&amp;$M$5,IF($B8&gt;0,"F"&amp;$B8&amp;"_"&amp;$M$5,"F"&amp;$C8&amp;"_"&amp;$M$5)))</f>
        <v/>
      </c>
      <c r="N8" t="str">
        <f>IF($N$4="Flächen","",IF($A8&gt;0,"F"&amp;$A8&amp;"_"&amp;$N$5,IF($B8&gt;0,"F"&amp;$B8&amp;"_"&amp;$N$5,"F"&amp;$C8&amp;"_"&amp;$N$5)))</f>
        <v/>
      </c>
    </row>
    <row r="10" spans="1:18" x14ac:dyDescent="0.3">
      <c r="C10">
        <v>3001</v>
      </c>
      <c r="D10" t="s">
        <v>21</v>
      </c>
      <c r="E10" t="s">
        <v>22</v>
      </c>
      <c r="J10" t="str">
        <f>VLOOKUP("UE",Hilfstabelle!C2:D451,2,FALSE)&amp;"/!1000"</f>
        <v>F3000/!1000</v>
      </c>
      <c r="L10" t="s">
        <v>548</v>
      </c>
      <c r="M10" t="str">
        <f t="shared" ref="M10:M16" si="0">IF($M$4="Arbeitskräfte","",IF($A10&gt;0,"F"&amp;$A10&amp;"_"&amp;$M$5,IF($B10&gt;0,"F"&amp;$B10&amp;"_"&amp;$M$5,"F"&amp;$C10&amp;"_"&amp;$M$5)))</f>
        <v/>
      </c>
      <c r="N10" t="str">
        <f t="shared" ref="N10:N35" si="1">IF($N$4="Flächen","",IF($A10&gt;0,"F"&amp;$A10&amp;"_"&amp;$N$5,IF($B10&gt;0,"F"&amp;$B10&amp;"_"&amp;$N$5,"F"&amp;$C10&amp;"_"&amp;$N$5)))</f>
        <v/>
      </c>
    </row>
    <row r="11" spans="1:18" x14ac:dyDescent="0.3">
      <c r="B11">
        <v>3010</v>
      </c>
      <c r="D11" t="s">
        <v>23</v>
      </c>
      <c r="E11" t="s">
        <v>24</v>
      </c>
      <c r="J11" t="s">
        <v>25</v>
      </c>
      <c r="L11" t="s">
        <v>20</v>
      </c>
      <c r="M11" t="str">
        <f t="shared" si="0"/>
        <v/>
      </c>
      <c r="N11" t="str">
        <f t="shared" si="1"/>
        <v/>
      </c>
      <c r="O11" t="str">
        <f t="shared" ref="O11:O16" si="2">IF(OR($O$4="Ertrag",$O$4="Umsatz Betrieb",$O$4="Betriebsertrag",$O$4="Ertrag Zierpflanzen",$O$4="Ertrag Gemüse",$O$4="Ertrag Baumschule",$O$4="Ertrag Obstbau",$O$4="Ertrag Landwirtschaft",$O$4="Ertrag Handel",$O$4="Ertrag Dienstleistung"),"",IF($A11&gt;0,"F"&amp;$A11&amp;"_"&amp;$O$5,IF($B11&gt;0,"F"&amp;$B11&amp;"_"&amp;$O$5,"F"&amp;$C11&amp;"_"&amp;$O$5)))</f>
        <v/>
      </c>
    </row>
    <row r="12" spans="1:18" x14ac:dyDescent="0.3">
      <c r="B12">
        <v>3020</v>
      </c>
      <c r="D12" t="s">
        <v>26</v>
      </c>
      <c r="E12" t="s">
        <v>27</v>
      </c>
      <c r="F12" t="s">
        <v>28</v>
      </c>
      <c r="J12" t="s">
        <v>29</v>
      </c>
      <c r="L12" t="s">
        <v>20</v>
      </c>
      <c r="M12" t="str">
        <f t="shared" si="0"/>
        <v/>
      </c>
      <c r="N12" t="str">
        <f t="shared" si="1"/>
        <v/>
      </c>
      <c r="O12" t="str">
        <f t="shared" si="2"/>
        <v/>
      </c>
    </row>
    <row r="13" spans="1:18" x14ac:dyDescent="0.3">
      <c r="C13">
        <v>3021</v>
      </c>
      <c r="D13" t="s">
        <v>30</v>
      </c>
      <c r="I13" s="4">
        <v>346</v>
      </c>
      <c r="L13" t="s">
        <v>20</v>
      </c>
      <c r="M13" t="str">
        <f t="shared" si="0"/>
        <v/>
      </c>
      <c r="N13" t="str">
        <f t="shared" si="1"/>
        <v/>
      </c>
      <c r="O13" t="str">
        <f t="shared" si="2"/>
        <v/>
      </c>
    </row>
    <row r="14" spans="1:18" x14ac:dyDescent="0.3">
      <c r="C14">
        <v>3022</v>
      </c>
      <c r="D14" t="s">
        <v>706</v>
      </c>
      <c r="E14" t="s">
        <v>707</v>
      </c>
      <c r="I14" s="4">
        <v>347</v>
      </c>
      <c r="L14" t="s">
        <v>20</v>
      </c>
      <c r="M14" t="str">
        <f t="shared" si="0"/>
        <v/>
      </c>
      <c r="N14" t="str">
        <f t="shared" si="1"/>
        <v/>
      </c>
      <c r="O14" t="str">
        <f t="shared" si="2"/>
        <v/>
      </c>
    </row>
    <row r="15" spans="1:18" x14ac:dyDescent="0.3">
      <c r="C15">
        <v>3023</v>
      </c>
      <c r="D15" t="s">
        <v>31</v>
      </c>
      <c r="I15" s="4">
        <v>348</v>
      </c>
      <c r="L15" t="s">
        <v>20</v>
      </c>
      <c r="M15" t="str">
        <f t="shared" si="0"/>
        <v/>
      </c>
      <c r="N15" t="str">
        <f t="shared" si="1"/>
        <v/>
      </c>
      <c r="O15" t="str">
        <f t="shared" si="2"/>
        <v/>
      </c>
    </row>
    <row r="16" spans="1:18" x14ac:dyDescent="0.3">
      <c r="B16">
        <v>3030</v>
      </c>
      <c r="D16" t="s">
        <v>36</v>
      </c>
      <c r="F16" s="5"/>
      <c r="G16" s="5"/>
      <c r="J16" t="s">
        <v>37</v>
      </c>
      <c r="L16" t="s">
        <v>20</v>
      </c>
      <c r="M16" t="str">
        <f t="shared" si="0"/>
        <v/>
      </c>
      <c r="N16" t="str">
        <f t="shared" si="1"/>
        <v/>
      </c>
      <c r="O16" t="str">
        <f t="shared" si="2"/>
        <v/>
      </c>
    </row>
    <row r="17" spans="1:15" x14ac:dyDescent="0.3">
      <c r="B17">
        <v>3040</v>
      </c>
      <c r="D17" t="s">
        <v>1288</v>
      </c>
      <c r="E17" t="s">
        <v>1288</v>
      </c>
      <c r="J17" t="s">
        <v>1973</v>
      </c>
      <c r="L17" t="s">
        <v>20</v>
      </c>
    </row>
    <row r="19" spans="1:15" x14ac:dyDescent="0.3">
      <c r="A19">
        <v>3100</v>
      </c>
      <c r="D19" t="s">
        <v>32</v>
      </c>
      <c r="E19" t="s">
        <v>33</v>
      </c>
      <c r="J19" t="str">
        <f>VLOOKUP("UE",Hilfstabelle!C2:D451,2,FALSE)&amp;"-"&amp;VLOOKUP("Sonst.UE",Hilfstabelle!C2:D451,2,FALSE)</f>
        <v>F3000-F3020</v>
      </c>
      <c r="L19" t="s">
        <v>20</v>
      </c>
      <c r="M19" t="str">
        <f t="shared" ref="M19:M72" si="3">IF($M$4="Arbeitskräfte","",IF(A19&gt;0,"F"&amp;A19&amp;"_"&amp;$M$5,IF(B19&gt;0,"F"&amp;B19&amp;"_"&amp;$M$5,"F"&amp;C19&amp;"_"&amp;$M$5)))</f>
        <v/>
      </c>
      <c r="N19" t="str">
        <f t="shared" si="1"/>
        <v/>
      </c>
      <c r="O19" t="str">
        <f>IF(OR($O$4="Ertrag",$O$4="Umsatz Betrieb",$O$4="Betriebsertrag",$O$4="Ertrag Zierpflanzen",$O$4="Ertrag Gemüse",$O$4="Ertrag Baumschule",$O$4="Ertrag Obstbau",$O$4="Ertrag Landwirtschaft",$O$4="Ertrag Handel",$O$4="Ertrag Dienstleistung"),"",IF($A19&gt;0,"F"&amp;$A19&amp;"_"&amp;$O$5,IF($B19&gt;0,"F"&amp;$B19&amp;"_"&amp;$O$5,"F"&amp;$C19&amp;"_"&amp;$O$5)))</f>
        <v/>
      </c>
    </row>
    <row r="21" spans="1:15" x14ac:dyDescent="0.3">
      <c r="C21">
        <v>3101</v>
      </c>
      <c r="D21" t="s">
        <v>34</v>
      </c>
      <c r="E21" t="s">
        <v>35</v>
      </c>
      <c r="J21" t="str">
        <f>VLOOKUP("BErtrag",Hilfstabelle!C2:D451,2,FALSE)&amp;"/!1000"</f>
        <v>F3100/!1000</v>
      </c>
      <c r="L21" t="s">
        <v>20</v>
      </c>
      <c r="M21" t="str">
        <f t="shared" si="3"/>
        <v/>
      </c>
      <c r="N21" t="str">
        <f t="shared" si="1"/>
        <v/>
      </c>
      <c r="O21" t="str">
        <f>IF(OR($O$4="Ertrag",$O$4="Umsatz Betrieb",$O$4="Betriebsertrag",$O$4="Ertrag Zierpflanzen",$O$4="Ertrag Gemüse",$O$4="Ertrag Baumschule",$O$4="Ertrag Obstbau",$O$4="Ertrag Landwirtschaft",$O$4="Ertrag Handel",$O$4="Ertrag Dienstleistung"),"",IF($A21&gt;0,"F"&amp;$A21&amp;"_"&amp;$O$5,IF($B21&gt;0,"F"&amp;$B21&amp;"_"&amp;$O$5,"F"&amp;$C21&amp;"_"&amp;$O$5)))</f>
        <v/>
      </c>
    </row>
    <row r="22" spans="1:15" x14ac:dyDescent="0.3">
      <c r="B22" s="6">
        <v>3110</v>
      </c>
      <c r="C22" s="6"/>
      <c r="D22" s="6" t="s">
        <v>38</v>
      </c>
      <c r="E22" s="6" t="s">
        <v>39</v>
      </c>
      <c r="F22" s="6" t="s">
        <v>40</v>
      </c>
      <c r="G22" s="6"/>
      <c r="H22" s="6"/>
      <c r="I22" s="7"/>
      <c r="J22" s="6" t="str">
        <f>VLOOKUP("BErtrag",Hilfstabelle!C2:D451,2,FALSE)&amp;"-i340"</f>
        <v>F3100-i340</v>
      </c>
      <c r="K22" s="6"/>
      <c r="L22" s="6" t="s">
        <v>20</v>
      </c>
      <c r="M22" t="str">
        <f t="shared" si="3"/>
        <v/>
      </c>
      <c r="N22" t="str">
        <f t="shared" si="1"/>
        <v/>
      </c>
      <c r="O22" t="str">
        <f>IF(OR($O$4="Ertrag",$O$4="Umsatz Betrieb",,$O$4="Ertrag Zierpflanzen",$O$4="Ertrag Gemüse",$O$4="Ertrag Baumschule",$O$4="Ertrag Obstbau",$O$4="Ertrag Landwirtschaft",$O$4="Ertrag Handel",$O$4="Ertrag Dienstleistung"),"",IF($A22&gt;0,"F"&amp;$A22&amp;"_"&amp;$O$5,IF($B22&gt;0,"F"&amp;$B22&amp;"_"&amp;$O$5,"F"&amp;$C22&amp;"_"&amp;$O$5)))</f>
        <v/>
      </c>
    </row>
    <row r="23" spans="1:15" x14ac:dyDescent="0.3">
      <c r="B23">
        <v>3120</v>
      </c>
      <c r="D23" t="s">
        <v>43</v>
      </c>
      <c r="E23" t="s">
        <v>44</v>
      </c>
      <c r="J23" s="8" t="s">
        <v>45</v>
      </c>
      <c r="L23" t="s">
        <v>20</v>
      </c>
      <c r="M23" t="str">
        <f t="shared" si="3"/>
        <v/>
      </c>
      <c r="N23" t="str">
        <f t="shared" si="1"/>
        <v/>
      </c>
      <c r="O23" t="str">
        <f>IF(OR($O$4="Ertrag",$O$4="Umsatz Betrieb",,$O$4="Ertrag Zierpflanzen",$O$4="Ertrag Gemüse",$O$4="Ertrag Baumschule",$O$4="Ertrag Obstbau",$O$4="Ertrag Landwirtschaft",$O$4="Ertrag Handel",$O$4="Ertrag Dienstleistung"),"",IF($A23&gt;0,"F"&amp;$A23&amp;"_"&amp;$O$5,IF($B23&gt;0,"F"&amp;$B23&amp;"_"&amp;$O$5,"F"&amp;$C23&amp;"_"&amp;$O$5)))</f>
        <v/>
      </c>
    </row>
    <row r="24" spans="1:15" x14ac:dyDescent="0.3">
      <c r="J24" s="8"/>
    </row>
    <row r="25" spans="1:15" x14ac:dyDescent="0.3">
      <c r="B25">
        <v>3130</v>
      </c>
      <c r="D25" t="s">
        <v>60</v>
      </c>
      <c r="E25" t="s">
        <v>61</v>
      </c>
      <c r="J25" t="s">
        <v>62</v>
      </c>
      <c r="L25" t="s">
        <v>20</v>
      </c>
      <c r="M25" t="str">
        <f t="shared" si="3"/>
        <v/>
      </c>
      <c r="N25" t="str">
        <f>IF($N$4="Flächen","",IF($A25&gt;0,"F"&amp;$A25&amp;"_"&amp;$N$5,IF($B25&gt;0,"F"&amp;$B25&amp;"_"&amp;$N$5,"F"&amp;$C25&amp;"_"&amp;$N$5)))</f>
        <v/>
      </c>
      <c r="O25" t="str">
        <f>IF(OR($O$4="Ertrag",$O$4="Umsatz Betrieb",,$O$4="Ertrag Zierpflanzen",$O$4="Ertrag Gemüse",$O$4="Ertrag Baumschule",$O$4="Ertrag Obstbau",$O$4="Ertrag Landwirtschaft",$O$4="Ertrag Handel",$O$4="Ertrag Dienstleistung"),"",IF($A25&gt;0,"F"&amp;$A25&amp;"_"&amp;$O$5,IF($B25&gt;0,"F"&amp;$B25&amp;"_"&amp;$O$5,"F"&amp;$C25&amp;"_"&amp;$O$5)))</f>
        <v/>
      </c>
    </row>
    <row r="26" spans="1:15" x14ac:dyDescent="0.3">
      <c r="B26">
        <v>3140</v>
      </c>
      <c r="D26" t="s">
        <v>1955</v>
      </c>
      <c r="E26" t="s">
        <v>52</v>
      </c>
      <c r="J26" t="s">
        <v>53</v>
      </c>
      <c r="L26" t="s">
        <v>20</v>
      </c>
      <c r="M26" t="str">
        <f t="shared" si="3"/>
        <v/>
      </c>
      <c r="N26" t="str">
        <f t="shared" si="1"/>
        <v/>
      </c>
      <c r="O26" t="str">
        <f>IF(OR($O$4="Ertrag",$O$4="Umsatz Betrieb",,$O$4="Ertrag Zierpflanzen",$O$4="Ertrag Gemüse",$O$4="Ertrag Baumschule",$O$4="Ertrag Obstbau",$O$4="Ertrag Landwirtschaft",$O$4="Ertrag Handel",$O$4="Ertrag Dienstleistung"),"",IF($A26&gt;0,"F"&amp;$A26&amp;"_"&amp;$O$5,IF($B26&gt;0,"F"&amp;$B26&amp;"_"&amp;$O$5,"F"&amp;$C26&amp;"_"&amp;$O$5)))</f>
        <v/>
      </c>
    </row>
    <row r="27" spans="1:15" x14ac:dyDescent="0.3">
      <c r="B27" s="6">
        <v>3150</v>
      </c>
      <c r="D27" t="s">
        <v>50</v>
      </c>
      <c r="E27" t="s">
        <v>51</v>
      </c>
      <c r="J27" t="str">
        <f>VLOOKUP("Umsatzerlöse_N",Hilfstabelle!C2:D451,2,FALSE)&amp;"+"&amp;VLOOKUP("sonst. betr. Erträge_N",Hilfstabelle!C2:D451,2,FALSE)</f>
        <v>F3130+F3140</v>
      </c>
      <c r="L27" s="6" t="s">
        <v>20</v>
      </c>
      <c r="M27" t="str">
        <f t="shared" si="3"/>
        <v/>
      </c>
      <c r="N27" t="str">
        <f t="shared" si="1"/>
        <v/>
      </c>
      <c r="O27" t="str">
        <f>IF(OR($O$4="Ertrag",$O$4="Umsatz Betrieb",,$O$4="Ertrag Zierpflanzen",$O$4="Ertrag Gemüse",$O$4="Ertrag Baumschule",$O$4="Ertrag Obstbau",$O$4="Ertrag Landwirtschaft",$O$4="Ertrag Handel",$O$4="Ertrag Dienstleistung"),"",IF($A27&gt;0,"F"&amp;$A27&amp;"_"&amp;$O$5,IF($B27&gt;0,"F"&amp;$B27&amp;"_"&amp;$O$5,"F"&amp;$C27&amp;"_"&amp;$O$5)))</f>
        <v/>
      </c>
    </row>
    <row r="29" spans="1:15" x14ac:dyDescent="0.3">
      <c r="C29">
        <v>3151</v>
      </c>
      <c r="D29" t="s">
        <v>46</v>
      </c>
      <c r="E29" t="s">
        <v>46</v>
      </c>
      <c r="J29" s="8" t="s">
        <v>47</v>
      </c>
      <c r="L29" t="s">
        <v>20</v>
      </c>
      <c r="O29" t="str">
        <f>IF(OR($O$4="Ertrag",$O$4="Umsatz Betrieb",,$O$4="Ertrag Zierpflanzen",$O$4="Ertrag Gemüse",$O$4="Ertrag Baumschule",$O$4="Ertrag Obstbau",$O$4="Ertrag Landwirtschaft",$O$4="Ertrag Handel",$O$4="Ertrag Dienstleistung"),"",IF($A29&gt;0,"F"&amp;$A29&amp;"_"&amp;$O$5,IF($B29&gt;0,"F"&amp;$B29&amp;"_"&amp;$O$5,"F"&amp;$C29&amp;"_"&amp;$O$5)))</f>
        <v/>
      </c>
    </row>
    <row r="30" spans="1:15" ht="15.75" customHeight="1" x14ac:dyDescent="0.3">
      <c r="B30" s="6"/>
      <c r="C30">
        <v>3152</v>
      </c>
      <c r="D30" t="s">
        <v>54</v>
      </c>
      <c r="E30" t="s">
        <v>54</v>
      </c>
      <c r="I30"/>
      <c r="J30" s="8" t="s">
        <v>55</v>
      </c>
      <c r="L30" s="6" t="s">
        <v>20</v>
      </c>
      <c r="O30" t="str">
        <f>IF(OR($O$4="Ertrag",$O$4="Umsatz Betrieb",,$O$4="Ertrag Zierpflanzen",$O$4="Ertrag Gemüse",$O$4="Ertrag Baumschule",$O$4="Ertrag Obstbau",$O$4="Ertrag Landwirtschaft",$O$4="Ertrag Handel",$O$4="Ertrag Dienstleistung"),"",IF($A30&gt;0,"F"&amp;$A30&amp;"_"&amp;$O$5,IF($B30&gt;0,"F"&amp;$B30&amp;"_"&amp;$O$5,"F"&amp;$C30&amp;"_"&amp;$O$5)))</f>
        <v/>
      </c>
    </row>
    <row r="31" spans="1:15" x14ac:dyDescent="0.3">
      <c r="C31">
        <v>3153</v>
      </c>
      <c r="D31" t="s">
        <v>56</v>
      </c>
      <c r="I31" s="4">
        <v>341</v>
      </c>
      <c r="L31" t="s">
        <v>20</v>
      </c>
      <c r="O31" t="str">
        <f>IF(OR($O$4="Ertrag",$O$4="Umsatz Betrieb",,$O$4="Ertrag Zierpflanzen",$O$4="Ertrag Gemüse",$O$4="Ertrag Baumschule",$O$4="Ertrag Obstbau",$O$4="Ertrag Landwirtschaft",$O$4="Ertrag Handel",$O$4="Ertrag Dienstleistung"),"",IF($A31&gt;0,"F"&amp;$A31&amp;"_"&amp;$O$5,IF($B31&gt;0,"F"&amp;$B31&amp;"_"&amp;$O$5,"F"&amp;$C31&amp;"_"&amp;$O$5)))</f>
        <v/>
      </c>
    </row>
    <row r="32" spans="1:15" x14ac:dyDescent="0.3">
      <c r="C32">
        <v>3154</v>
      </c>
      <c r="D32" t="s">
        <v>1950</v>
      </c>
      <c r="E32" t="s">
        <v>1950</v>
      </c>
      <c r="I32" s="4">
        <v>342</v>
      </c>
      <c r="L32" t="s">
        <v>20</v>
      </c>
      <c r="O32" t="str">
        <f>IF(OR($O$4="Ertrag",$O$4="Umsatz Betrieb",,$O$4="Ertrag Zierpflanzen",$O$4="Ertrag Gemüse",$O$4="Ertrag Baumschule",$O$4="Ertrag Obstbau",$O$4="Ertrag Landwirtschaft",$O$4="Ertrag Handel",$O$4="Ertrag Dienstleistung"),"",IF($A32&gt;0,"F"&amp;$A32&amp;"_"&amp;$O$5,IF($B32&gt;0,"F"&amp;$B32&amp;"_"&amp;$O$5,"F"&amp;$C32&amp;"_"&amp;$O$5)))</f>
        <v/>
      </c>
    </row>
    <row r="33" spans="1:15" x14ac:dyDescent="0.3">
      <c r="C33">
        <v>3155</v>
      </c>
      <c r="D33" t="s">
        <v>57</v>
      </c>
      <c r="I33" s="4">
        <v>343</v>
      </c>
      <c r="L33" t="s">
        <v>20</v>
      </c>
      <c r="O33" t="str">
        <f>IF(OR($O$4="Ertrag",$O$4="Umsatz Betrieb",,$O$4="Ertrag Zierpflanzen",$O$4="Ertrag Gemüse",$O$4="Ertrag Baumschule",$O$4="Ertrag Obstbau",$O$4="Ertrag Landwirtschaft",$O$4="Ertrag Handel",$O$4="Ertrag Dienstleistung"),"",IF($A33&gt;0,"F"&amp;$A33&amp;"_"&amp;$O$5,IF($B33&gt;0,"F"&amp;$B33&amp;"_"&amp;$O$5,"F"&amp;$C33&amp;"_"&amp;$O$5)))</f>
        <v/>
      </c>
    </row>
    <row r="35" spans="1:15" x14ac:dyDescent="0.3">
      <c r="A35">
        <v>3200</v>
      </c>
      <c r="D35" t="s">
        <v>41</v>
      </c>
      <c r="E35" t="s">
        <v>41</v>
      </c>
      <c r="F35" t="s">
        <v>42</v>
      </c>
      <c r="I35" s="4">
        <v>340</v>
      </c>
      <c r="L35" t="s">
        <v>20</v>
      </c>
      <c r="M35" t="str">
        <f t="shared" si="3"/>
        <v/>
      </c>
      <c r="N35" t="str">
        <f t="shared" si="1"/>
        <v/>
      </c>
      <c r="O35" t="str">
        <f>IF(OR($O$4="Ertrag",$O$4="Umsatz Betrieb",$O$4="Ertrag Zierpflanzen",$O$4="Ertrag Gemüse",$O$4="Ertrag Baumschule",$O$4="Ertrag Obstbau",$O$4="Ertrag Landwirtschaft",$O$4="Ertrag Handel",$O$4="Ertrag Dienstleistung"),"",IF($A35&gt;0,"F"&amp;$A35&amp;"_"&amp;$O$5,IF($B35&gt;0,"F"&amp;$B35&amp;"_"&amp;$O$5,"F"&amp;$C35&amp;"_"&amp;$O$5)))</f>
        <v/>
      </c>
    </row>
    <row r="38" spans="1:15" x14ac:dyDescent="0.3">
      <c r="B38">
        <v>3210</v>
      </c>
      <c r="D38" t="s">
        <v>63</v>
      </c>
      <c r="E38" t="s">
        <v>64</v>
      </c>
      <c r="J38" t="s">
        <v>65</v>
      </c>
      <c r="L38" t="s">
        <v>20</v>
      </c>
      <c r="M38" t="str">
        <f>IF(OR($M$4="Arbeitskräfte",$M$4="Arbeitskräfte Direktabsatz",$M$4="Arbeitskräfte Dienstleistung"),"",IF(A38&gt;0,"F"&amp;A38&amp;"_"&amp;$M$5,IF(B38&gt;0,"F"&amp;B38&amp;"_"&amp;$M$5,"F"&amp;C38&amp;"_"&amp;$M$5)))</f>
        <v/>
      </c>
      <c r="N38" t="str">
        <f>IF(OR($N$4="Flächen", $N$4="Fläche Gemüsebau",$N$4="Fläche Baumschule",$N$4="Fläche Obstbau",$N$4="Landwirtschaftliche Fläche"),"",IF($A38&gt;0,"F"&amp;$A38&amp;"_"&amp;$N$5,IF($B38&gt;0,"F"&amp;$B38&amp;"_"&amp;$N$5,"F"&amp;$C38&amp;"_"&amp;$N$5)))</f>
        <v/>
      </c>
      <c r="O38" t="str">
        <f t="shared" ref="O38:O45" si="4">IF(OR($O$4="Ertrag",$O$4="Ertrag Gemüse",$O$4="Ertrag Baumschule",$O$4="Ertrag Obstbau",$O$4="Ertrag Landwirtschaft",$O$4="Ertrag Handel",$O$4="Ertrag Dienstleistung"),"",IF($A38&gt;0,"F"&amp;$A38&amp;"_"&amp;$O$5,IF($B38&gt;0,"F"&amp;$B38&amp;"_"&amp;$O$5,"F"&amp;$C38&amp;"_"&amp;$O$5)))</f>
        <v/>
      </c>
    </row>
    <row r="39" spans="1:15" x14ac:dyDescent="0.3">
      <c r="C39">
        <v>3211</v>
      </c>
      <c r="D39" t="s">
        <v>66</v>
      </c>
      <c r="E39" t="s">
        <v>67</v>
      </c>
      <c r="F39" t="s">
        <v>68</v>
      </c>
      <c r="J39" t="s">
        <v>69</v>
      </c>
      <c r="L39" t="s">
        <v>20</v>
      </c>
      <c r="M39" t="str">
        <f t="shared" ref="M39:M54" si="5">IF(OR($M$4="Arbeitskräfte",$M$4="Arbeitskräfte Direktabsatz",$M$4="Arbeitskräfte Dienstleistung"),"",IF(A39&gt;0,"F"&amp;A39&amp;"_"&amp;$M$5,IF(B39&gt;0,"F"&amp;B39&amp;"_"&amp;$M$5,"F"&amp;C39&amp;"_"&amp;$M$5)))</f>
        <v/>
      </c>
      <c r="N39" t="str">
        <f>IF(OR($N$4="Flächen", $N$4="Fläche Gemüsebau",$N$4="Fläche Baumschule",$N$4="Fläche Obstbau",$N$4="Landwirtschaftliche Fläche",$N$4="Fläche Freiland-Produktion insgesamt"),"",IF($A39&gt;0,"F"&amp;$A39&amp;"_"&amp;$N$5,IF($B39&gt;0,"F"&amp;$B39&amp;"_"&amp;$N$5,"F"&amp;$C39&amp;"_"&amp;$N$5)))</f>
        <v/>
      </c>
      <c r="O39" t="str">
        <f t="shared" si="4"/>
        <v/>
      </c>
    </row>
    <row r="40" spans="1:15" x14ac:dyDescent="0.3">
      <c r="C40">
        <v>3212</v>
      </c>
      <c r="D40" t="s">
        <v>70</v>
      </c>
      <c r="E40" t="s">
        <v>71</v>
      </c>
      <c r="J40" t="s">
        <v>72</v>
      </c>
      <c r="L40" t="s">
        <v>20</v>
      </c>
      <c r="M40" t="str">
        <f t="shared" si="5"/>
        <v/>
      </c>
      <c r="N40" t="str">
        <f>IF(OR($N$4="Flächen", $N$4="Fläche Gemüsebau",$N$4="Fläche Baumschule",$N$4="Fläche Obstbau",$N$4="Landwirtschaftliche Fläche",$N$4="Glasfläche"),"",IF($A40&gt;0,"F"&amp;$A40&amp;"_"&amp;$N$5,IF($B40&gt;0,"F"&amp;$B40&amp;"_"&amp;$N$5,"F"&amp;$C40&amp;"_"&amp;$N$5)))</f>
        <v/>
      </c>
      <c r="O40" t="str">
        <f t="shared" si="4"/>
        <v/>
      </c>
    </row>
    <row r="41" spans="1:15" x14ac:dyDescent="0.3">
      <c r="C41">
        <v>3213</v>
      </c>
      <c r="D41" t="s">
        <v>1259</v>
      </c>
      <c r="I41" s="4">
        <v>301</v>
      </c>
      <c r="L41" t="s">
        <v>20</v>
      </c>
      <c r="M41" t="str">
        <f t="shared" si="5"/>
        <v/>
      </c>
      <c r="N41" t="str">
        <f t="shared" ref="N41:N45" si="6">IF(OR($N$4="Flächen", $N$4="Fläche Gemüsebau",$N$4="Fläche Baumschule",$N$4="Fläche Obstbau",$N$4="Landwirtschaftliche Fläche"),"",IF($A41&gt;0,"F"&amp;$A41&amp;"_"&amp;$N$5,IF($B41&gt;0,"F"&amp;$B41&amp;"_"&amp;$N$5,"F"&amp;$C41&amp;"_"&amp;$N$5)))</f>
        <v/>
      </c>
      <c r="O41" t="str">
        <f t="shared" si="4"/>
        <v/>
      </c>
    </row>
    <row r="42" spans="1:15" x14ac:dyDescent="0.3">
      <c r="C42">
        <v>3214</v>
      </c>
      <c r="D42" t="s">
        <v>80</v>
      </c>
      <c r="I42" s="4">
        <v>302</v>
      </c>
      <c r="L42" t="s">
        <v>20</v>
      </c>
      <c r="M42" t="str">
        <f t="shared" si="5"/>
        <v/>
      </c>
      <c r="N42" t="str">
        <f t="shared" si="6"/>
        <v/>
      </c>
      <c r="O42" t="str">
        <f t="shared" si="4"/>
        <v/>
      </c>
    </row>
    <row r="43" spans="1:15" x14ac:dyDescent="0.3">
      <c r="C43">
        <v>3215</v>
      </c>
      <c r="D43" t="s">
        <v>81</v>
      </c>
      <c r="I43" s="4">
        <v>303</v>
      </c>
      <c r="L43" t="s">
        <v>20</v>
      </c>
      <c r="M43" t="str">
        <f t="shared" si="5"/>
        <v/>
      </c>
      <c r="N43" t="str">
        <f>IF(OR($N$4="Flächen", $N$4="Fläche Gemüsebau",$N$4="Fläche Baumschule",$N$4="Fläche Obstbau",$N$4="Landwirtschaftliche Fläche",$N$4="Glasfläche"),"",IF($A43&gt;0,"F"&amp;$A43&amp;"_"&amp;$N$5,IF($B43&gt;0,"F"&amp;$B43&amp;"_"&amp;$N$5,"F"&amp;$C43&amp;"_"&amp;$N$5)))</f>
        <v/>
      </c>
      <c r="O43" t="str">
        <f t="shared" si="4"/>
        <v/>
      </c>
    </row>
    <row r="44" spans="1:15" x14ac:dyDescent="0.3">
      <c r="C44">
        <v>3216</v>
      </c>
      <c r="D44" t="s">
        <v>82</v>
      </c>
      <c r="I44" s="4">
        <v>304</v>
      </c>
      <c r="L44" t="s">
        <v>20</v>
      </c>
      <c r="M44" t="str">
        <f t="shared" si="5"/>
        <v/>
      </c>
      <c r="N44" t="str">
        <f t="shared" si="6"/>
        <v/>
      </c>
      <c r="O44" t="str">
        <f t="shared" si="4"/>
        <v/>
      </c>
    </row>
    <row r="45" spans="1:15" x14ac:dyDescent="0.3">
      <c r="C45">
        <v>3217</v>
      </c>
      <c r="D45" t="s">
        <v>83</v>
      </c>
      <c r="I45" s="4">
        <v>305</v>
      </c>
      <c r="L45" t="s">
        <v>20</v>
      </c>
      <c r="M45" t="str">
        <f t="shared" si="5"/>
        <v/>
      </c>
      <c r="N45" t="str">
        <f t="shared" si="6"/>
        <v/>
      </c>
      <c r="O45" t="str">
        <f t="shared" si="4"/>
        <v/>
      </c>
    </row>
    <row r="47" spans="1:15" x14ac:dyDescent="0.3">
      <c r="B47">
        <v>3220</v>
      </c>
      <c r="D47" t="s">
        <v>99</v>
      </c>
      <c r="E47" t="s">
        <v>100</v>
      </c>
      <c r="J47" t="s">
        <v>101</v>
      </c>
      <c r="L47" t="s">
        <v>20</v>
      </c>
      <c r="M47" t="str">
        <f t="shared" si="5"/>
        <v/>
      </c>
      <c r="N47" t="str">
        <f>IF(OR($N$4="Flächen", $N$4="Fläche Zierpflanzenbau",$N$4="Fläche Baumschule",$N$4="Fläche Obstbau",$N$4="Landwirtschaftliche Fläche"),"",IF($A47&gt;0,"F"&amp;$A47&amp;"_"&amp;$N$5,IF($B47&gt;0,"F"&amp;$B47&amp;"_"&amp;$N$5,"F"&amp;$C47&amp;"_"&amp;$N$5)))</f>
        <v/>
      </c>
      <c r="O47" t="str">
        <f>IF(OR($O$4="Ertrag",$O$4="Ertrag Zierpflanzen",$O$4="Ertrag Baumschule",$O$4="Ertrag Obstbau",$O$4="Ertrag Landwirtschaft",$O$4="Ertrag Handel",$O$4="Ertrag Dienstleistung"),"",IF($A47&gt;0,"F"&amp;$A47&amp;"_"&amp;$O$5,IF($B47&gt;0,"F"&amp;$B47&amp;"_"&amp;$O$5,"F"&amp;$C47&amp;"_"&amp;$O$5)))</f>
        <v/>
      </c>
    </row>
    <row r="48" spans="1:15" x14ac:dyDescent="0.3">
      <c r="C48">
        <v>3221</v>
      </c>
      <c r="D48" t="s">
        <v>102</v>
      </c>
      <c r="I48" s="4">
        <v>311</v>
      </c>
      <c r="L48" t="s">
        <v>20</v>
      </c>
      <c r="M48" t="str">
        <f t="shared" si="5"/>
        <v/>
      </c>
      <c r="N48" t="str">
        <f>IF(OR($N$4="Flächen", $N$4="Fläche Zierpflanzenbau",$N$4="Fläche Baumschule",$N$4="Fläche Obstbau",$N$4="Landwirtschaftliche Fläche",$N$4="Glasfläche"),"",IF($A48&gt;0,"F"&amp;$A48&amp;"_"&amp;$N$5,IF($B48&gt;0,"F"&amp;$B48&amp;"_"&amp;$N$5,"F"&amp;$C48&amp;"_"&amp;$N$5)))</f>
        <v/>
      </c>
      <c r="O48" t="str">
        <f>IF(OR($O$4="Ertrag",$O$4="Ertrag Zierpflanzen",$O$4="Ertrag Baumschule",$O$4="Ertrag Obstbau",$O$4="Ertrag Landwirtschaft",$O$4="Ertrag Handel",$O$4="Ertrag Dienstleistung"),"",IF($A48&gt;0,"F"&amp;$A48&amp;"_"&amp;$O$5,IF($B48&gt;0,"F"&amp;$B48&amp;"_"&amp;$O$5,"F"&amp;$C48&amp;"_"&amp;$O$5)))</f>
        <v/>
      </c>
    </row>
    <row r="49" spans="2:15" x14ac:dyDescent="0.3">
      <c r="C49">
        <v>3222</v>
      </c>
      <c r="D49" t="s">
        <v>103</v>
      </c>
      <c r="I49" s="4">
        <v>312</v>
      </c>
      <c r="L49" t="s">
        <v>20</v>
      </c>
      <c r="M49" t="str">
        <f t="shared" si="5"/>
        <v/>
      </c>
      <c r="N49" t="str">
        <f>IF(OR($N$4="Flächen", $N$4="Fläche Zierpflanzenbau",$N$4="Fläche Baumschule",$N$4="Fläche Obstbau",$N$4="Landwirtschaftliche Fläche",$N$4="Fläche Freiland-Produktion insgesamt"),"",IF($A49&gt;0,"F"&amp;$A49&amp;"_"&amp;$N$5,IF($B49&gt;0,"F"&amp;$B49&amp;"_"&amp;$N$5,"F"&amp;$C49&amp;"_"&amp;$N$5)))</f>
        <v/>
      </c>
      <c r="O49" t="str">
        <f>IF(OR($O$4="Ertrag",$O$4="Ertrag Zierpflanzen",$O$4="Ertrag Baumschule",$O$4="Ertrag Obstbau",$O$4="Ertrag Landwirtschaft",$O$4="Ertrag Handel",$O$4="Ertrag Dienstleistung"),"",IF($A49&gt;0,"F"&amp;$A49&amp;"_"&amp;$O$5,IF($B49&gt;0,"F"&amp;$B49&amp;"_"&amp;$O$5,"F"&amp;$C49&amp;"_"&amp;$O$5)))</f>
        <v/>
      </c>
    </row>
    <row r="51" spans="2:15" x14ac:dyDescent="0.3">
      <c r="B51">
        <v>3230</v>
      </c>
      <c r="D51" t="s">
        <v>116</v>
      </c>
      <c r="E51" t="s">
        <v>117</v>
      </c>
      <c r="I51" s="4">
        <v>315</v>
      </c>
      <c r="J51" s="4" t="s">
        <v>118</v>
      </c>
      <c r="L51" t="s">
        <v>20</v>
      </c>
      <c r="M51" t="str">
        <f t="shared" si="5"/>
        <v/>
      </c>
      <c r="N51" t="str">
        <f>IF(OR($N$4="Flächen", $N$4="Fläche Gemüsebau",$N$4="Fläche Zierpflanzenbau",$N$4="Fläche Obstbau",$N$4="Landwirtschaftliche Fläche"),"",IF($A51&gt;0,"F"&amp;$A51&amp;"_"&amp;$N$5,IF($B51&gt;0,"F"&amp;$B51&amp;"_"&amp;$N$5,"F"&amp;$C51&amp;"_"&amp;$N$5)))</f>
        <v/>
      </c>
      <c r="O51" t="str">
        <f>IF(OR($O$4="Ertrag",$O$4="Ertrag Zierpflanzen",$O$4="Ertrag Gemüse",$O$4="Ertrag Obstbau",$O$4="Ertrag Landwirtschaft",$O$4="Ertrag Handel",$O$4="Ertrag Dienstleistung"),"",IF($A51&gt;0,"F"&amp;$A51&amp;"_"&amp;$O$5,IF($B51&gt;0,"F"&amp;$B51&amp;"_"&amp;$O$5,"F"&amp;$C51&amp;"_"&amp;$O$5)))</f>
        <v/>
      </c>
    </row>
    <row r="52" spans="2:15" x14ac:dyDescent="0.3">
      <c r="C52">
        <v>3231</v>
      </c>
      <c r="D52" t="s">
        <v>119</v>
      </c>
      <c r="E52" t="s">
        <v>120</v>
      </c>
      <c r="F52" s="13"/>
      <c r="J52" t="s">
        <v>1641</v>
      </c>
      <c r="L52" t="s">
        <v>20</v>
      </c>
      <c r="M52" t="str">
        <f t="shared" si="5"/>
        <v/>
      </c>
      <c r="N52" t="str">
        <f>IF(OR($N$4="Flächen", $N$4="Fläche Gemüsebau",$N$4="Fläche Zierpflanzenbau",$N$4="Fläche Obstbau",$N$4="Landwirtschaftliche Fläche"),"",IF($A52&gt;0,"F"&amp;$A52&amp;"_"&amp;$N$5,IF($B52&gt;0,"F"&amp;$B52&amp;"_"&amp;$N$5,"F"&amp;$C52&amp;"_"&amp;$N$5)))</f>
        <v/>
      </c>
      <c r="O52" t="str">
        <f>IF(OR($O$4="Ertrag",$O$4="Ertrag Zierpflanzen",$O$4="Ertrag Gemüse",$O$4="Ertrag Obstbau",$O$4="Ertrag Landwirtschaft",$O$4="Ertrag Handel",$O$4="Ertrag Dienstleistung"),"",IF($A52&gt;0,"F"&amp;$A52&amp;"_"&amp;$O$5,IF($B52&gt;0,"F"&amp;$B52&amp;"_"&amp;$O$5,"F"&amp;$C52&amp;"_"&amp;$O$5)))</f>
        <v/>
      </c>
    </row>
    <row r="54" spans="2:15" x14ac:dyDescent="0.3">
      <c r="B54">
        <v>3240</v>
      </c>
      <c r="D54" t="s">
        <v>1915</v>
      </c>
      <c r="E54" t="s">
        <v>122</v>
      </c>
      <c r="I54" s="4">
        <v>316</v>
      </c>
      <c r="J54" s="4" t="s">
        <v>123</v>
      </c>
      <c r="L54" t="s">
        <v>20</v>
      </c>
      <c r="M54" t="str">
        <f t="shared" si="5"/>
        <v/>
      </c>
      <c r="N54" t="str">
        <f>IF(OR($N$4="Flächen", $N$4="Fläche Gemüsebau",$N$4="Fläche Baumschule",$N$4="Fläche Zierpflanzenbau",$N$4="Landwirtschaftliche Fläche",$N$4="Glasfläche"),"",IF($A54&gt;0,"F"&amp;$A54&amp;"_"&amp;$N$5,IF($B54&gt;0,"F"&amp;$B54&amp;"_"&amp;$N$5,"F"&amp;$C54&amp;"_"&amp;$N$5)))</f>
        <v/>
      </c>
      <c r="O54" t="str">
        <f>IF(OR($O$4="Ertrag",$O$4="Ertrag Zierpflanzen",$O$4="Ertrag Gemüse",$O$4="Ertrag Baumschule",$O$4="Ertrag Landwirtschaft",$O$4="Ertrag Handel",$O$4="Ertrag Dienstleistung"),"",IF($A54&gt;0,"F"&amp;$A54&amp;"_"&amp;$O$5,IF($B54&gt;0,"F"&amp;$B54&amp;"_"&amp;$O$5,"F"&amp;$C54&amp;"_"&amp;$O$5)))</f>
        <v/>
      </c>
    </row>
    <row r="56" spans="2:15" x14ac:dyDescent="0.3">
      <c r="B56">
        <v>3250</v>
      </c>
      <c r="D56" t="s">
        <v>124</v>
      </c>
      <c r="E56" t="s">
        <v>124</v>
      </c>
      <c r="J56" t="s">
        <v>125</v>
      </c>
      <c r="L56" t="s">
        <v>20</v>
      </c>
      <c r="M56" t="str">
        <f>IF(OR($M$4="Arbeitskräfte",$M$4="Arbeitskräfte Direktabsatz",$M$4="Arbeitskräfte Dienstleistung"),"",IF(A56&gt;0,"F"&amp;A56&amp;"_"&amp;$M$5,IF(B56&gt;0,"F"&amp;B56&amp;"_"&amp;$M$5,"F"&amp;C56&amp;"_"&amp;$M$5)))</f>
        <v/>
      </c>
      <c r="N56" t="str">
        <f>IF(OR($N$4="Flächen", $N$4="Fläche Gemüsebau",$N$4="Fläche Baumschule",$N$4="Fläche Obstbau",$N$4="Fläche Zierpflanzenbau",$N$4="Glasfläche"),"",IF($A56&gt;0,"F"&amp;$A56&amp;"_"&amp;$N$5,IF($B56&gt;0,"F"&amp;$B56&amp;"_"&amp;$N$5,"F"&amp;$C56&amp;"_"&amp;$N$5)))</f>
        <v/>
      </c>
      <c r="O56" t="str">
        <f>IF(OR($O$4="Ertrag",$O$4="Ertrag Zierpflanzen",$O$4="Ertrag Gemüse",$O$4="Ertrag Baumschule",$O$4="Ertrag Obstbau",$O$4="Ertrag Handel",$O$4="Ertrag Dienstleistung"),"",IF($A56&gt;0,"F"&amp;$A56&amp;"_"&amp;$O$5,IF($B56&gt;0,"F"&amp;$B56&amp;"_"&amp;$O$5,"F"&amp;$C56&amp;"_"&amp;$O$5)))</f>
        <v/>
      </c>
    </row>
    <row r="58" spans="2:15" x14ac:dyDescent="0.3">
      <c r="B58">
        <v>3260</v>
      </c>
      <c r="D58" t="s">
        <v>126</v>
      </c>
      <c r="E58" t="s">
        <v>127</v>
      </c>
      <c r="F58" t="s">
        <v>128</v>
      </c>
      <c r="J58" t="s">
        <v>129</v>
      </c>
      <c r="L58" t="s">
        <v>20</v>
      </c>
      <c r="M58" t="str">
        <f>IF(OR($M$4="Arbeitskräfte",$M$4="Arbeitskräfte Eigenproduktion",$M$4="Arbeitskräfte Dienstleistung"),"",IF(A58&gt;0,"F"&amp;A58&amp;"_"&amp;$M$5,IF(B58&gt;0,"F"&amp;B58&amp;"_"&amp;$M$5,"F"&amp;C58&amp;"_"&amp;$M$5)))</f>
        <v/>
      </c>
      <c r="N58" t="str">
        <f>IF(OR($N$4="Flächen", $N$4="Fläche Gemüsebau",$N$4="Fläche Baumschule",$N$4="Fläche Obstbau",$N$4="Landwirtschaftliche Fläche",$N$4="Fläche Zierpflanzenbau",$N$4="Fläche Freiland-Produktion insgesamt",$N$4="Glasfläche"),"",IF($A58&gt;0,"F"&amp;$A58&amp;"_"&amp;$N$5,IF($B58&gt;0,"F"&amp;$B58&amp;"_"&amp;$N$5,"F"&amp;$C58&amp;"_"&amp;$N$5)))</f>
        <v/>
      </c>
      <c r="O58" t="str">
        <f t="shared" ref="O58:O63" si="7">IF(OR($O$4="Ertrag",$O$4="Ertrag Zierpflanzen",$O$4="Ertrag Gemüse",$O$4="Ertrag Baumschule",$O$4="Ertrag Obstbau",$O$4="Ertrag Landwirtschaft",$O$4="Ertrag Dienstleistung"),"",IF($A58&gt;0,"F"&amp;$A58&amp;"_"&amp;$O$5,IF($B58&gt;0,"F"&amp;$B58&amp;"_"&amp;$O$5,"F"&amp;$C58&amp;"_"&amp;$O$5)))</f>
        <v/>
      </c>
    </row>
    <row r="59" spans="2:15" x14ac:dyDescent="0.3">
      <c r="C59">
        <v>3261</v>
      </c>
      <c r="D59" t="s">
        <v>1645</v>
      </c>
      <c r="I59" s="4">
        <v>321</v>
      </c>
      <c r="L59" t="s">
        <v>20</v>
      </c>
      <c r="M59" t="str">
        <f t="shared" ref="M59:M63" si="8">IF(OR($M$4="Arbeitskräfte",$M$4="Arbeitskräfte Eigenproduktion",$M$4="Arbeitskräfte Dienstleistung"),"",IF(A59&gt;0,"F"&amp;A59&amp;"_"&amp;$M$5,IF(B59&gt;0,"F"&amp;B59&amp;"_"&amp;$M$5,"F"&amp;C59&amp;"_"&amp;$M$5)))</f>
        <v/>
      </c>
      <c r="N59" t="str">
        <f t="shared" ref="N59:N63" si="9">IF(OR($N$4="Flächen", $N$4="Fläche Gemüsebau",$N$4="Fläche Baumschule",$N$4="Fläche Obstbau",$N$4="Landwirtschaftliche Fläche",$N$4="Fläche Zierpflanzenbau",$N$4="Fläche Freiland-Produktion insgesamt",$N$4="Glasfläche"),"",IF($A59&gt;0,"F"&amp;$A59&amp;"_"&amp;$N$5,IF($B59&gt;0,"F"&amp;$B59&amp;"_"&amp;$N$5,"F"&amp;$C59&amp;"_"&amp;$N$5)))</f>
        <v/>
      </c>
      <c r="O59" t="str">
        <f t="shared" si="7"/>
        <v/>
      </c>
    </row>
    <row r="60" spans="2:15" x14ac:dyDescent="0.3">
      <c r="C60">
        <v>3262</v>
      </c>
      <c r="D60" t="s">
        <v>1646</v>
      </c>
      <c r="I60" s="4">
        <v>323</v>
      </c>
      <c r="L60" t="s">
        <v>20</v>
      </c>
      <c r="M60" t="str">
        <f t="shared" si="8"/>
        <v/>
      </c>
      <c r="N60" t="str">
        <f t="shared" si="9"/>
        <v/>
      </c>
      <c r="O60" t="str">
        <f t="shared" si="7"/>
        <v/>
      </c>
    </row>
    <row r="61" spans="2:15" x14ac:dyDescent="0.3">
      <c r="C61">
        <v>3263</v>
      </c>
      <c r="D61" t="s">
        <v>130</v>
      </c>
      <c r="E61" t="s">
        <v>131</v>
      </c>
      <c r="I61" s="4">
        <v>324</v>
      </c>
      <c r="L61" t="s">
        <v>20</v>
      </c>
      <c r="M61" t="str">
        <f t="shared" si="8"/>
        <v/>
      </c>
      <c r="N61" t="str">
        <f t="shared" si="9"/>
        <v/>
      </c>
      <c r="O61" t="str">
        <f t="shared" si="7"/>
        <v/>
      </c>
    </row>
    <row r="62" spans="2:15" x14ac:dyDescent="0.3">
      <c r="C62">
        <v>3264</v>
      </c>
      <c r="D62" t="s">
        <v>132</v>
      </c>
      <c r="I62" s="4">
        <v>325</v>
      </c>
      <c r="L62" t="s">
        <v>20</v>
      </c>
      <c r="M62" t="str">
        <f t="shared" si="8"/>
        <v/>
      </c>
      <c r="N62" t="str">
        <f t="shared" si="9"/>
        <v/>
      </c>
      <c r="O62" t="str">
        <f t="shared" si="7"/>
        <v/>
      </c>
    </row>
    <row r="63" spans="2:15" x14ac:dyDescent="0.3">
      <c r="C63">
        <v>3265</v>
      </c>
      <c r="D63" t="s">
        <v>1647</v>
      </c>
      <c r="I63" s="4">
        <v>326</v>
      </c>
      <c r="L63" t="s">
        <v>20</v>
      </c>
      <c r="M63" t="str">
        <f t="shared" si="8"/>
        <v/>
      </c>
      <c r="N63" t="str">
        <f t="shared" si="9"/>
        <v/>
      </c>
      <c r="O63" t="str">
        <f t="shared" si="7"/>
        <v/>
      </c>
    </row>
    <row r="65" spans="1:15" x14ac:dyDescent="0.3">
      <c r="B65">
        <v>3270</v>
      </c>
      <c r="D65" t="s">
        <v>133</v>
      </c>
      <c r="E65" t="s">
        <v>133</v>
      </c>
      <c r="F65" t="s">
        <v>134</v>
      </c>
      <c r="J65" t="s">
        <v>135</v>
      </c>
      <c r="L65" t="s">
        <v>20</v>
      </c>
      <c r="M65" t="str">
        <f>IF(OR($M$4="Arbeitskräfte",$M$4="Arbeitskräfte Direktabsatz",$M$4="Arbeitskräfte Eigenproduktion"),"",IF(A65&gt;0,"F"&amp;A65&amp;"_"&amp;$M$5,IF(B65&gt;0,"F"&amp;B65&amp;"_"&amp;$M$5,"F"&amp;C65&amp;"_"&amp;$M$5)))</f>
        <v/>
      </c>
      <c r="N65" t="str">
        <f>IF(OR($N$4="Flächen", $N$4="Fläche Gemüsebau",$N$4="Fläche Baumschule",$N$4="Fläche Obstbau",$N$4="Landwirtschaftliche Fläche",$N$4="Fläche Zierpflanzenbau",$N$4="Fläche Freiland-Produktion insgesamt",$N$4="Glasfläche"),"",IF($A65&gt;0,"F"&amp;$A65&amp;"_"&amp;$N$5,IF($B65&gt;0,"F"&amp;$B65&amp;"_"&amp;$N$5,"F"&amp;$C65&amp;"_"&amp;$N$5)))</f>
        <v/>
      </c>
      <c r="O65" t="str">
        <f>IF(OR($O$4="Ertrag",$O$4="Ertrag Zierpflanzen",$O$4="Ertrag Gemüse",$O$4="Ertrag Baumschule",$O$4="Ertrag Obstbau",$O$4="Ertrag Landwirtschaft",$O$4="Ertrag Handel"),"",IF($A65&gt;0,"F"&amp;$A65&amp;"_"&amp;$O$5,IF($B65&gt;0,"F"&amp;$B65&amp;"_"&amp;$O$5,"F"&amp;$C65&amp;"_"&amp;$O$5)))</f>
        <v/>
      </c>
    </row>
    <row r="66" spans="1:15" x14ac:dyDescent="0.3">
      <c r="C66">
        <v>3271</v>
      </c>
      <c r="D66" t="s">
        <v>136</v>
      </c>
      <c r="I66" s="4">
        <v>331</v>
      </c>
      <c r="L66" t="s">
        <v>20</v>
      </c>
      <c r="M66" t="str">
        <f t="shared" ref="M66:M68" si="10">IF(OR($M$4="Arbeitskräfte",$M$4="Arbeitskräfte Direktabsatz",$M$4="Arbeitskräfte Eigenproduktion"),"",IF(A66&gt;0,"F"&amp;A66&amp;"_"&amp;$M$5,IF(B66&gt;0,"F"&amp;B66&amp;"_"&amp;$M$5,"F"&amp;C66&amp;"_"&amp;$M$5)))</f>
        <v/>
      </c>
      <c r="N66" t="str">
        <f t="shared" ref="N66:N68" si="11">IF(OR($N$4="Flächen", $N$4="Fläche Gemüsebau",$N$4="Fläche Baumschule",$N$4="Fläche Obstbau",$N$4="Landwirtschaftliche Fläche",$N$4="Fläche Zierpflanzenbau",$N$4="Fläche Freiland-Produktion insgesamt",$N$4="Glasfläche"),"",IF($A66&gt;0,"F"&amp;$A66&amp;"_"&amp;$N$5,IF($B66&gt;0,"F"&amp;$B66&amp;"_"&amp;$N$5,"F"&amp;$C66&amp;"_"&amp;$N$5)))</f>
        <v/>
      </c>
      <c r="O66" t="str">
        <f>IF(OR($O$4="Ertrag",$O$4="Ertrag Zierpflanzen",$O$4="Ertrag Gemüse",$O$4="Ertrag Baumschule",$O$4="Ertrag Obstbau",$O$4="Ertrag Landwirtschaft",$O$4="Ertrag Handel"),"",IF($A66&gt;0,"F"&amp;$A66&amp;"_"&amp;$O$5,IF($B66&gt;0,"F"&amp;$B66&amp;"_"&amp;$O$5,"F"&amp;$C66&amp;"_"&amp;$O$5)))</f>
        <v/>
      </c>
    </row>
    <row r="67" spans="1:15" x14ac:dyDescent="0.3">
      <c r="C67">
        <v>3272</v>
      </c>
      <c r="D67" t="s">
        <v>137</v>
      </c>
      <c r="I67" s="4">
        <v>332</v>
      </c>
      <c r="L67" t="s">
        <v>20</v>
      </c>
      <c r="M67" t="str">
        <f t="shared" si="10"/>
        <v/>
      </c>
      <c r="N67" t="str">
        <f t="shared" si="11"/>
        <v/>
      </c>
      <c r="O67" t="str">
        <f>IF(OR($O$4="Ertrag",$O$4="Ertrag Zierpflanzen",$O$4="Ertrag Gemüse",$O$4="Ertrag Baumschule",$O$4="Ertrag Obstbau",$O$4="Ertrag Landwirtschaft",$O$4="Ertrag Handel"),"",IF($A67&gt;0,"F"&amp;$A67&amp;"_"&amp;$O$5,IF($B67&gt;0,"F"&amp;$B67&amp;"_"&amp;$O$5,"F"&amp;$C67&amp;"_"&amp;$O$5)))</f>
        <v/>
      </c>
    </row>
    <row r="68" spans="1:15" x14ac:dyDescent="0.3">
      <c r="C68">
        <v>3273</v>
      </c>
      <c r="D68" t="s">
        <v>138</v>
      </c>
      <c r="I68" s="4">
        <v>333</v>
      </c>
      <c r="L68" t="s">
        <v>20</v>
      </c>
      <c r="M68" t="str">
        <f t="shared" si="10"/>
        <v/>
      </c>
      <c r="N68" t="str">
        <f t="shared" si="11"/>
        <v/>
      </c>
      <c r="O68" t="str">
        <f>IF(OR($O$4="Ertrag",$O$4="Ertrag Zierpflanzen",$O$4="Ertrag Gemüse",$O$4="Ertrag Baumschule",$O$4="Ertrag Obstbau",$O$4="Ertrag Landwirtschaft",$O$4="Ertrag Handel"),"",IF($A68&gt;0,"F"&amp;$A68&amp;"_"&amp;$O$5,IF($B68&gt;0,"F"&amp;$B68&amp;"_"&amp;$O$5,"F"&amp;$C68&amp;"_"&amp;$O$5)))</f>
        <v/>
      </c>
    </row>
    <row r="70" spans="1:15" x14ac:dyDescent="0.3">
      <c r="C70" s="1"/>
      <c r="D70" s="1" t="s">
        <v>139</v>
      </c>
    </row>
    <row r="72" spans="1:15" x14ac:dyDescent="0.3">
      <c r="A72">
        <v>3300</v>
      </c>
      <c r="D72" t="s">
        <v>140</v>
      </c>
      <c r="E72" t="s">
        <v>141</v>
      </c>
      <c r="J72" t="str">
        <f>VLOOKUP("E-Gartenbau",Hilfstabelle!C2:D451,2,FALSE)&amp;"+"&amp;VLOOKUP("E-HuD",Hilfstabelle!C2:D451,2,FALSE)</f>
        <v>F3320+F3330</v>
      </c>
      <c r="L72" t="s">
        <v>20</v>
      </c>
      <c r="M72" t="str">
        <f t="shared" si="3"/>
        <v/>
      </c>
      <c r="N72" t="str">
        <f t="shared" ref="N72:N76" si="12">IF($N$4="Flächen","",IF($A72&gt;0,"F"&amp;$A72&amp;"_"&amp;$N$5,IF($B72&gt;0,"F"&amp;$B72&amp;"_"&amp;$N$5,"F"&amp;$C72&amp;"_"&amp;$N$5)))</f>
        <v/>
      </c>
      <c r="O72" t="str">
        <f>IF(OR($O$4="Ertrag",$O$4="Ertrag Landwirtschaft"),"",IF($A72&gt;0,"F"&amp;$A72&amp;"_"&amp;$O$5,IF($B72&gt;0,"F"&amp;$B72&amp;"_"&amp;$O$5,"F"&amp;$C72&amp;"_"&amp;$O$5)))</f>
        <v/>
      </c>
    </row>
    <row r="73" spans="1:15" x14ac:dyDescent="0.3">
      <c r="B73">
        <v>3310</v>
      </c>
      <c r="D73" t="s">
        <v>143</v>
      </c>
      <c r="E73" t="s">
        <v>143</v>
      </c>
      <c r="F73" t="s">
        <v>144</v>
      </c>
      <c r="J73" t="str">
        <f>VLOOKUP("E-Gartenbau",Hilfstabelle!C2:D451,2,FALSE)&amp;"+"&amp;VLOOKUP("Ertrag Landwirtschaft",Hilfstabelle!C2:D451,2,FALSE)</f>
        <v>F3320+F3250</v>
      </c>
      <c r="L73" t="s">
        <v>20</v>
      </c>
      <c r="M73" t="str">
        <f>IF(OR($M$4="Arbeitskräfte",$M$4="Arbeitskräfte Direktabsatz",$M$4="Arbeitskräfte Dienstleistung"),"",IF(A73&gt;0,"F"&amp;A73&amp;"_"&amp;$M$5,IF(B73&gt;0,"F"&amp;B73&amp;"_"&amp;$M$5,"F"&amp;C73&amp;"_"&amp;$M$5)))</f>
        <v/>
      </c>
      <c r="N73" t="str">
        <f t="shared" si="12"/>
        <v/>
      </c>
      <c r="O73" t="str">
        <f>IF(OR($O$4="Ertrag",$O$4="Ertrag Handel",$O$4="Ertrag Dienstleistung"),"",IF($A73&gt;0,"F"&amp;$A73&amp;"_"&amp;$O$5,IF($B73&gt;0,"F"&amp;$B73&amp;"_"&amp;$O$5,"F"&amp;$C73&amp;"_"&amp;$O$5)))</f>
        <v/>
      </c>
    </row>
    <row r="74" spans="1:15" x14ac:dyDescent="0.3">
      <c r="B74">
        <v>3320</v>
      </c>
      <c r="D74" t="s">
        <v>148</v>
      </c>
      <c r="E74" t="s">
        <v>149</v>
      </c>
      <c r="J74" t="str">
        <f>VLOOKUP("E-Zierpflanzen",Hilfstabelle!C2:D451,2,FALSE)&amp;"+"&amp;VLOOKUP("E-Gemüse",Hilfstabelle!C2:D451,2,FALSE)&amp;"+i315+i316"</f>
        <v>F3210+F3220+i315+i316</v>
      </c>
      <c r="L74" t="s">
        <v>20</v>
      </c>
      <c r="M74" t="str">
        <f>IF(OR($M$4="Arbeitskräfte",$M$4="Arbeitskräfte Direktabsatz",$M$4="Arbeitskräfte Dienstleistung"),"",IF(A74&gt;0,"F"&amp;A74&amp;"_"&amp;$M$5,IF(B74&gt;0,"F"&amp;B74&amp;"_"&amp;$M$5,"F"&amp;C74&amp;"_"&amp;$M$5)))</f>
        <v/>
      </c>
      <c r="N74" t="str">
        <f t="shared" si="12"/>
        <v/>
      </c>
      <c r="O74" t="str">
        <f>IF(OR($O$4="Ertrag",,$O$4="Ertrag Handel",$O$4="Ertrag Dienstleistung",$O$4="Ertrag Landwirtschaft"),"",IF($A74&gt;0,"F"&amp;$A74&amp;"_"&amp;$O$5,IF($B74&gt;0,"F"&amp;$B74&amp;"_"&amp;$O$5,"F"&amp;$C74&amp;"_"&amp;$O$5)))</f>
        <v/>
      </c>
    </row>
    <row r="75" spans="1:15" x14ac:dyDescent="0.3">
      <c r="B75">
        <v>3330</v>
      </c>
      <c r="D75" t="s">
        <v>150</v>
      </c>
      <c r="E75" t="s">
        <v>151</v>
      </c>
      <c r="J75" t="s">
        <v>152</v>
      </c>
      <c r="L75" t="s">
        <v>20</v>
      </c>
      <c r="M75" t="str">
        <f>IF(OR($M$4="Arbeitskräfte",$M$4="Arbeitskräfte Eigenproduktion"),"",IF(A75&gt;0,"F"&amp;A75&amp;"_"&amp;$M$5,IF(B75&gt;0,"F"&amp;B75&amp;"_"&amp;$M$5,"F"&amp;C75&amp;"_"&amp;$M$5)))</f>
        <v/>
      </c>
      <c r="N75" t="str">
        <f>IF(OR($N$4="Flächen", $N$4="Fläche Gemüsebau",$N$4="Fläche Baumschule",$N$4="Fläche Obstbau",$N$4="Landwirtschaftliche Fläche",$N$4="Fläche Zierpflanzenbau",$N$4="Fläche Freiland-Produktion insgesamt",$N$4="Fläche Eigenproduktion",$N$4="Glasfläche"),"",IF($A75&gt;0,"F"&amp;$A75&amp;"_"&amp;$N$5,IF($B75&gt;0,"F"&amp;$B75&amp;"_"&amp;$N$5,"F"&amp;$C75&amp;"_"&amp;$N$5)))</f>
        <v/>
      </c>
      <c r="O75" t="str">
        <f>IF(OR($O$4="Ertrag",$O$4="Ertrag Zierpflanzen",$O$4="Ertrag Gemüse",$O$4="Ertrag Baumschule",$O$4="Ertrag Obstbau",$O$4="Ertrag Landwirtschaft"),"",IF($A75&gt;0,"F"&amp;$A75&amp;"_"&amp;$O$5,IF($B75&gt;0,"F"&amp;$B75&amp;"_"&amp;$O$5,"F"&amp;$C75&amp;"_"&amp;$O$5)))</f>
        <v/>
      </c>
    </row>
    <row r="76" spans="1:15" ht="14.1" customHeight="1" x14ac:dyDescent="0.3">
      <c r="B76">
        <v>3340</v>
      </c>
      <c r="D76" t="s">
        <v>158</v>
      </c>
      <c r="E76" t="s">
        <v>159</v>
      </c>
      <c r="F76" t="s">
        <v>160</v>
      </c>
      <c r="J76" t="str">
        <f>VLOOKUP("E-Gartenbau",Hilfstabelle!C2:D451,2,FALSE)&amp;"+"&amp;VLOOKUP("Ertrag Landwirtschaft",Hilfstabelle!C2:D451,2,FALSE)&amp;"+i321+i326+i323+i324+i325"</f>
        <v>F3320+F3250+i321+i326+i323+i324+i325</v>
      </c>
      <c r="K76" t="str">
        <f>VLOOKUP("Ertrag Eigenproduktion",Hilfstabelle!C2:D451,2,FALSE)&amp;"+"&amp;VLOOKUP("E-Handelsware",Hilfstabelle!C2:D451,2,FALSE)</f>
        <v>F3310+F3260</v>
      </c>
      <c r="L76" t="s">
        <v>20</v>
      </c>
      <c r="M76" t="str">
        <f>IF(OR($M$4="Arbeitskräfte",$M$4="Arbeitskräfte Dienstleistung"),"",IF(A76&gt;0,"F"&amp;A76&amp;"_"&amp;$M$5,IF(B76&gt;0,"F"&amp;B76&amp;"_"&amp;$M$5,"F"&amp;C76&amp;"_"&amp;$M$5)))</f>
        <v/>
      </c>
      <c r="N76" t="str">
        <f t="shared" si="12"/>
        <v/>
      </c>
      <c r="O76" t="str">
        <f>IF(OR($O$4="Ertrag",$O$4="Ertrag Handel"),"",IF($A76&gt;0,"F"&amp;$A76&amp;"_"&amp;$O$5,IF($B76&gt;0,"F"&amp;$B76&amp;"_"&amp;$O$5,"F"&amp;$C76&amp;"_"&amp;$O$5)))</f>
        <v/>
      </c>
    </row>
    <row r="77" spans="1:15" x14ac:dyDescent="0.3">
      <c r="B77">
        <v>3350</v>
      </c>
      <c r="D77" t="s">
        <v>145</v>
      </c>
      <c r="E77" t="s">
        <v>146</v>
      </c>
      <c r="J77" t="s">
        <v>147</v>
      </c>
      <c r="L77" t="s">
        <v>20</v>
      </c>
      <c r="M77" t="str">
        <f>IF(OR($M$4="Arbeitskräfte",$M$4="Arbeitskräfte Direktabsatz",$M$4="Arbeitskräfte Dienstleistung"),"",IF(A77&gt;0,"F"&amp;A77&amp;"_"&amp;$M$5,IF(B77&gt;0,"F"&amp;B77&amp;"_"&amp;$M$5,"F"&amp;C77&amp;"_"&amp;$M$5)))</f>
        <v/>
      </c>
      <c r="N77" t="str">
        <f>IF(OR($N$4="Flächen",$N$4="Fläche Obstbau",$N$4="Landwirtschaftliche Fläche",$N$4="Fläche Freiland-Produktion insgesamt"),"",IF($A77&gt;0,"F"&amp;$A77&amp;"_"&amp;$N$5,IF($B77&gt;0,"F"&amp;$B77&amp;"_"&amp;$N$5,"F"&amp;$C77&amp;"_"&amp;$N$5)))</f>
        <v/>
      </c>
      <c r="O77" t="str">
        <f>IF(OR($O$4="Ertrag",$O$4="Ertrag Baumschule",$O$4="Ertrag Obstbau",$O$4="Ertrag Landwirtschaft",$O$4="Ertrag Dienstleistung",$O$4="Ertrag Handel"),"",IF($A77&gt;0,"F"&amp;$A77&amp;"_"&amp;$O$5,IF($B77&gt;0,"F"&amp;$B77&amp;"_"&amp;$O$5,"F"&amp;$C77&amp;"_"&amp;$O$5)))</f>
        <v/>
      </c>
    </row>
    <row r="78" spans="1:15" x14ac:dyDescent="0.3">
      <c r="B78">
        <v>3360</v>
      </c>
      <c r="D78" t="s">
        <v>155</v>
      </c>
      <c r="E78" t="s">
        <v>156</v>
      </c>
      <c r="J78" t="s">
        <v>157</v>
      </c>
      <c r="L78" t="s">
        <v>20</v>
      </c>
      <c r="M78" t="str">
        <f>IF(OR($M$4="Arbeitskräfte",$M$4="Arbeitskräfte Direktabsatz",$M$4="Arbeitskräfte Dienstleistung"),"",IF(A78&gt;0,"F"&amp;A78&amp;"_"&amp;$M$5,IF(B78&gt;0,"F"&amp;B78&amp;"_"&amp;$M$5,"F"&amp;C78&amp;"_"&amp;$M$5)))</f>
        <v/>
      </c>
      <c r="N78" t="str">
        <f>IF(OR($N$4="Flächen",$N$4="Glasfläche"),"",IF($A78&gt;0,"F"&amp;$A78&amp;"_"&amp;$N$5,IF($B78&gt;0,"F"&amp;$B78&amp;"_"&amp;$N$5,"F"&amp;$C78&amp;"_"&amp;$N$5)))</f>
        <v/>
      </c>
      <c r="O78" t="str">
        <f>IF(OR($O$4="Ertrag",$O$4="Ertrag Handel",$O$4="Ertrag Dienstleistung"),"",IF($A78&gt;0,"F"&amp;$A78&amp;"_"&amp;$O$5,IF($B78&gt;0,"F"&amp;$B78&amp;"_"&amp;$O$5,"F"&amp;$C78&amp;"_"&amp;$O$5)))</f>
        <v/>
      </c>
    </row>
    <row r="79" spans="1:15" x14ac:dyDescent="0.3">
      <c r="B79">
        <v>3370</v>
      </c>
      <c r="D79" t="s">
        <v>1914</v>
      </c>
      <c r="E79" t="s">
        <v>1913</v>
      </c>
      <c r="J79" t="s">
        <v>1912</v>
      </c>
      <c r="L79" t="s">
        <v>20</v>
      </c>
      <c r="M79" t="str">
        <f t="shared" ref="M79" si="13">IF($M$4="Arbeitskräfte","",IF(A79&gt;0,"F"&amp;A79&amp;"_"&amp;$M$5,IF(B79&gt;0,"F"&amp;B79&amp;"_"&amp;$M$5,"F"&amp;C79&amp;"_"&amp;$M$5)))</f>
        <v/>
      </c>
      <c r="N79" t="str">
        <f>IF(OR($N$4="Flächen",$N$4="Glasfläche"),"",IF($A79&gt;0,"F"&amp;$A79&amp;"_"&amp;$N$5,IF($B79&gt;0,"F"&amp;$B79&amp;"_"&amp;$N$5,"F"&amp;$C79&amp;"_"&amp;$N$5)))</f>
        <v/>
      </c>
      <c r="O79" t="str">
        <f>IF(OR($O$4="Ertrag",$O$4="Ertrag Handel",$O$4="Ertrag Dienstleistung"),"",IF($A79&gt;0,"F"&amp;$A79&amp;"_"&amp;$O$5,IF($B79&gt;0,"F"&amp;$B79&amp;"_"&amp;$O$5,"F"&amp;$C79&amp;"_"&amp;$O$5)))</f>
        <v/>
      </c>
    </row>
    <row r="82" spans="1:21" x14ac:dyDescent="0.3">
      <c r="A82">
        <v>3400</v>
      </c>
      <c r="D82" t="s">
        <v>166</v>
      </c>
      <c r="E82" t="s">
        <v>166</v>
      </c>
      <c r="J82" t="str">
        <f>"i363+i364+i365+i366+i367+i368+i369+i390+"&amp;VLOOKUP("Ertrag Direktabsatz",Hilfstabelle!C2:D451,2,FALSE)</f>
        <v>i363+i364+i365+i366+i367+i368+i369+i390+F3410</v>
      </c>
      <c r="L82" t="s">
        <v>20</v>
      </c>
      <c r="M82" t="str">
        <f>IF(OR($M$4="Arbeitskräfte",$M$4="Arbeitskräfte Dienstleistung"),"",IF(A82&gt;0,"F"&amp;A82&amp;"_"&amp;$M$5,IF(B82&gt;0,"F"&amp;B82&amp;"_"&amp;$M$5,"F"&amp;C82&amp;"_"&amp;$M$5)))</f>
        <v/>
      </c>
      <c r="N82" t="str">
        <f t="shared" ref="N82" si="14">IF($N$4="Flächen","",IF($A82&gt;0,"F"&amp;$A82&amp;"_"&amp;$N$5,IF($B82&gt;0,"F"&amp;$B82&amp;"_"&amp;$N$5,"F"&amp;$C82&amp;"_"&amp;$N$5)))</f>
        <v/>
      </c>
      <c r="O82" t="str">
        <f>IF(OR($O$4="Ertrag",$O$4="Ertrag Handel"),"",IF($A82&gt;0,"F"&amp;$A82&amp;"_"&amp;$O$5,IF($B82&gt;0,"F"&amp;$B82&amp;"_"&amp;$O$5,"F"&amp;$C82&amp;"_"&amp;$O$5)))</f>
        <v/>
      </c>
    </row>
    <row r="84" spans="1:21" x14ac:dyDescent="0.3">
      <c r="B84">
        <v>3410</v>
      </c>
      <c r="D84" t="s">
        <v>183</v>
      </c>
      <c r="E84" t="s">
        <v>153</v>
      </c>
      <c r="F84" t="s">
        <v>163</v>
      </c>
      <c r="J84" t="s">
        <v>154</v>
      </c>
      <c r="L84" t="s">
        <v>20</v>
      </c>
      <c r="M84" t="str">
        <f>IF(OR($M$4="Arbeitskräfte",$M$4="Arbeitskräfte Eigenproduktion",$M$4="Arbeitskräfte Dienstleistung"),"",IF(A84&gt;0,"F"&amp;A84&amp;"_"&amp;$M$5,IF(B84&gt;0,"F"&amp;B84&amp;"_"&amp;$M$5,"F"&amp;C84&amp;"_"&amp;$M$5)))</f>
        <v/>
      </c>
      <c r="N84" t="str">
        <f t="shared" ref="N84:N93" si="15">IF($N$4="Flächen","",IF($A84&gt;0,"F"&amp;$A84&amp;"_"&amp;$N$5,IF($B84&gt;0,"F"&amp;$B84&amp;"_"&amp;$N$5,"F"&amp;$C84&amp;"_"&amp;$N$5)))</f>
        <v/>
      </c>
      <c r="O84" t="str">
        <f>IF(OR($O$4="Ertrag",$O$4="Ertrag Dienstleistung"),"",IF($A84&gt;0,"F"&amp;$A84&amp;"_"&amp;$O$5,IF($B84&gt;0,"F"&amp;$B84&amp;"_"&amp;$O$5,"F"&amp;$C84&amp;"_"&amp;$O$5)))</f>
        <v/>
      </c>
    </row>
    <row r="85" spans="1:21" x14ac:dyDescent="0.3">
      <c r="C85">
        <v>3411</v>
      </c>
      <c r="D85" t="s">
        <v>182</v>
      </c>
      <c r="J85" t="str">
        <f>VLOOKUP("Ertrag Direktabsatz",Hilfstabelle!C2:D451,2,FALSE)&amp;"+i371"</f>
        <v>F3410+i371</v>
      </c>
      <c r="L85" t="s">
        <v>20</v>
      </c>
      <c r="M85" t="str">
        <f t="shared" ref="M85:M89" si="16">IF(OR($M$4="Arbeitskräfte",$M$4="Arbeitskräfte Eigenproduktion",$M$4="Arbeitskräfte Dienstleistung"),"",IF(A85&gt;0,"F"&amp;A85&amp;"_"&amp;$M$5,IF(B85&gt;0,"F"&amp;B85&amp;"_"&amp;$M$5,"F"&amp;C85&amp;"_"&amp;$M$5)))</f>
        <v/>
      </c>
      <c r="N85" t="str">
        <f t="shared" si="15"/>
        <v/>
      </c>
      <c r="O85" t="str">
        <f t="shared" ref="O85:O93" si="17">IF(OR($O$4="Ertrag",$O$4="Ertrag Dienstleistung"),"",IF($A85&gt;0,"F"&amp;$A85&amp;"_"&amp;$O$5,IF($B85&gt;0,"F"&amp;$B85&amp;"_"&amp;$O$5,"F"&amp;$C85&amp;"_"&amp;$O$5)))</f>
        <v/>
      </c>
    </row>
    <row r="86" spans="1:21" x14ac:dyDescent="0.3">
      <c r="C86">
        <v>3412</v>
      </c>
      <c r="D86" t="s">
        <v>171</v>
      </c>
      <c r="E86" t="s">
        <v>171</v>
      </c>
      <c r="J86" t="s">
        <v>172</v>
      </c>
      <c r="L86" t="s">
        <v>20</v>
      </c>
      <c r="M86" t="str">
        <f t="shared" si="16"/>
        <v/>
      </c>
      <c r="N86" t="str">
        <f t="shared" si="15"/>
        <v/>
      </c>
      <c r="O86" t="str">
        <f t="shared" si="17"/>
        <v/>
      </c>
      <c r="Q86" s="19"/>
      <c r="R86" s="19"/>
      <c r="S86" s="19"/>
      <c r="T86" s="19"/>
      <c r="U86" s="19"/>
    </row>
    <row r="87" spans="1:21" x14ac:dyDescent="0.3">
      <c r="C87">
        <v>3413</v>
      </c>
      <c r="D87" t="s">
        <v>174</v>
      </c>
      <c r="E87" t="s">
        <v>174</v>
      </c>
      <c r="J87" t="s">
        <v>175</v>
      </c>
      <c r="L87" t="s">
        <v>20</v>
      </c>
      <c r="M87" t="str">
        <f t="shared" si="16"/>
        <v/>
      </c>
      <c r="N87" t="str">
        <f t="shared" si="15"/>
        <v/>
      </c>
      <c r="O87" t="str">
        <f t="shared" si="17"/>
        <v/>
      </c>
      <c r="Q87" s="19"/>
      <c r="R87" s="19"/>
      <c r="S87" s="19"/>
      <c r="T87" s="19"/>
      <c r="U87" s="19"/>
    </row>
    <row r="88" spans="1:21" x14ac:dyDescent="0.3">
      <c r="C88">
        <v>3414</v>
      </c>
      <c r="D88" t="s">
        <v>173</v>
      </c>
      <c r="E88" t="s">
        <v>173</v>
      </c>
      <c r="I88" s="4">
        <v>361</v>
      </c>
      <c r="L88" t="s">
        <v>20</v>
      </c>
      <c r="M88" t="str">
        <f t="shared" si="16"/>
        <v/>
      </c>
      <c r="N88" t="str">
        <f t="shared" si="15"/>
        <v/>
      </c>
      <c r="O88" t="str">
        <f t="shared" si="17"/>
        <v/>
      </c>
    </row>
    <row r="89" spans="1:21" x14ac:dyDescent="0.3">
      <c r="C89">
        <v>3415</v>
      </c>
      <c r="D89" t="s">
        <v>169</v>
      </c>
      <c r="E89" t="s">
        <v>169</v>
      </c>
      <c r="I89" s="4">
        <v>374</v>
      </c>
      <c r="L89" t="s">
        <v>20</v>
      </c>
      <c r="M89" t="str">
        <f t="shared" si="16"/>
        <v/>
      </c>
      <c r="N89" t="str">
        <f t="shared" si="15"/>
        <v/>
      </c>
      <c r="O89" t="str">
        <f t="shared" si="17"/>
        <v/>
      </c>
    </row>
    <row r="91" spans="1:21" x14ac:dyDescent="0.3">
      <c r="B91">
        <v>3420</v>
      </c>
      <c r="D91" t="s">
        <v>164</v>
      </c>
      <c r="E91" t="s">
        <v>164</v>
      </c>
      <c r="J91" t="s">
        <v>165</v>
      </c>
      <c r="L91" t="s">
        <v>20</v>
      </c>
      <c r="M91" t="str">
        <f>IF(OR($M$4="Arbeitskräfte",$M$4="Arbeitskräfte Dienstleistung"),"",IF(A91&gt;0,"F"&amp;A91&amp;"_"&amp;$M$5,IF(B91&gt;0,"F"&amp;B91&amp;"_"&amp;$M$5,"F"&amp;C91&amp;"_"&amp;$M$5)))</f>
        <v/>
      </c>
      <c r="N91" t="str">
        <f t="shared" si="15"/>
        <v/>
      </c>
      <c r="O91" t="str">
        <f t="shared" si="17"/>
        <v/>
      </c>
    </row>
    <row r="92" spans="1:21" x14ac:dyDescent="0.3">
      <c r="C92">
        <v>3421</v>
      </c>
      <c r="D92" t="s">
        <v>170</v>
      </c>
      <c r="E92" t="s">
        <v>170</v>
      </c>
      <c r="I92" s="4">
        <v>366</v>
      </c>
      <c r="L92" t="s">
        <v>20</v>
      </c>
      <c r="M92" t="str">
        <f t="shared" ref="M92:M93" si="18">IF(OR($M$4="Arbeitskräfte",$M$4="Arbeitskräfte Dienstleistung"),"",IF(A92&gt;0,"F"&amp;A92&amp;"_"&amp;$M$5,IF(B92&gt;0,"F"&amp;B92&amp;"_"&amp;$M$5,"F"&amp;C92&amp;"_"&amp;$M$5)))</f>
        <v/>
      </c>
      <c r="N92" t="str">
        <f t="shared" si="15"/>
        <v/>
      </c>
      <c r="O92" t="str">
        <f t="shared" si="17"/>
        <v/>
      </c>
    </row>
    <row r="93" spans="1:21" x14ac:dyDescent="0.3">
      <c r="C93">
        <v>3422</v>
      </c>
      <c r="D93" t="s">
        <v>178</v>
      </c>
      <c r="I93" s="4">
        <v>363</v>
      </c>
      <c r="L93" t="s">
        <v>20</v>
      </c>
      <c r="M93" t="str">
        <f t="shared" si="18"/>
        <v/>
      </c>
      <c r="N93" t="str">
        <f t="shared" si="15"/>
        <v/>
      </c>
      <c r="O93" t="str">
        <f t="shared" si="17"/>
        <v/>
      </c>
    </row>
    <row r="95" spans="1:21" x14ac:dyDescent="0.3">
      <c r="B95">
        <v>3430</v>
      </c>
      <c r="D95" t="s">
        <v>179</v>
      </c>
      <c r="J95" t="s">
        <v>180</v>
      </c>
      <c r="L95" t="s">
        <v>20</v>
      </c>
      <c r="M95" t="str">
        <f>IF(OR($M$4="Arbeitskräfte",$M$4="Arbeitskräfte Direktabsatz",$M$4="Arbeitskräfte Eigenproduktion"),"",IF(A95&gt;0,"F"&amp;A95&amp;"_"&amp;$M$5,IF(B95&gt;0,"F"&amp;B95&amp;"_"&amp;$M$5,"F"&amp;C95&amp;"_"&amp;$M$5)))</f>
        <v/>
      </c>
      <c r="N95" t="str">
        <f>IF(OR($N$4="Flächen", $N$4="Fläche Gemüsebau",$N$4="Fläche Baumschule",$N$4="Fläche Obstbau",$N$4="Landwirtschaftliche Fläche",$N$4="Fläche Zierpflanzenbau",$N$4="Fläche Freiland-Produktion insgesamt",$N$4="Glasfläche"),"",IF($A95&gt;0,"F"&amp;$A95&amp;"_"&amp;$N$5,IF($B95&gt;0,"F"&amp;$B95&amp;"_"&amp;$N$5,"F"&amp;$C95&amp;"_"&amp;$N$5)))</f>
        <v/>
      </c>
      <c r="O95" t="str">
        <f>IF(OR($O$4="Ertrag",$O$4="Ertrag Zierpflanzen",$O$4="Ertrag Gemüse",$O$4="Ertrag Baumschule",$O$4="Ertrag Obstbau",$O$4="Ertrag Landwirtschaft",$O$4="Ertrag Handel"),"",IF($A95&gt;0,"F"&amp;$A95&amp;"_"&amp;$O$5,IF($B95&gt;0,"F"&amp;$B95&amp;"_"&amp;$O$5,"F"&amp;$C95&amp;"_"&amp;$O$5)))</f>
        <v/>
      </c>
    </row>
    <row r="96" spans="1:21" x14ac:dyDescent="0.3">
      <c r="C96">
        <v>3431</v>
      </c>
      <c r="D96" t="s">
        <v>2153</v>
      </c>
      <c r="E96" t="s">
        <v>2153</v>
      </c>
      <c r="J96" t="s">
        <v>162</v>
      </c>
      <c r="L96" t="s">
        <v>20</v>
      </c>
      <c r="M96" t="str">
        <f>IF(OR($M$4="Arbeitskräfte",$M$4="Arbeitskräfte Direktabsatz",$M$4="Arbeitskräfte Eigenproduktion"),"",IF(A96&gt;0,"F"&amp;A96&amp;"_"&amp;$M$5,IF(B96&gt;0,"F"&amp;B96&amp;"_"&amp;$M$5,"F"&amp;C96&amp;"_"&amp;$M$5)))</f>
        <v/>
      </c>
      <c r="N96" t="str">
        <f t="shared" ref="N96:N99" si="19">IF(OR($N$4="Flächen", $N$4="Fläche Gemüsebau",$N$4="Fläche Baumschule",$N$4="Fläche Obstbau",$N$4="Landwirtschaftliche Fläche",$N$4="Fläche Zierpflanzenbau",$N$4="Fläche Freiland-Produktion insgesamt",$N$4="Glasfläche"),"",IF($A96&gt;0,"F"&amp;$A96&amp;"_"&amp;$N$5,IF($B96&gt;0,"F"&amp;$B96&amp;"_"&amp;$N$5,"F"&amp;$C96&amp;"_"&amp;$N$5)))</f>
        <v/>
      </c>
      <c r="O96" t="str">
        <f>IF(OR($O$4="Ertrag",$O$4="Ertrag Zierpflanzen",$O$4="Ertrag Gemüse",$O$4="Ertrag Baumschule",$O$4="Ertrag Obstbau",$O$4="Ertrag Landwirtschaft",$O$4="Ertrag Handel"),"",IF($A96&gt;0,"F"&amp;$A96&amp;"_"&amp;$O$5,IF($B96&gt;0,"F"&amp;$B96&amp;"_"&amp;$O$5,"F"&amp;$C96&amp;"_"&amp;$O$5)))</f>
        <v/>
      </c>
    </row>
    <row r="97" spans="1:15" x14ac:dyDescent="0.3">
      <c r="C97">
        <v>3432</v>
      </c>
      <c r="D97" t="s">
        <v>177</v>
      </c>
      <c r="E97" t="s">
        <v>177</v>
      </c>
      <c r="I97" s="4">
        <v>371</v>
      </c>
      <c r="L97" t="s">
        <v>20</v>
      </c>
      <c r="M97" t="str">
        <f>IF(OR($M$4="Arbeitskräfte",$M$4="Arbeitskräfte Direktabsatz"),"",IF(A97&gt;0,"F"&amp;A97&amp;"_"&amp;$M$5,IF(B97&gt;0,"F"&amp;B97&amp;"_"&amp;$M$5,"F"&amp;C97&amp;"_"&amp;$M$5)))</f>
        <v/>
      </c>
      <c r="N97" t="str">
        <f t="shared" si="19"/>
        <v/>
      </c>
      <c r="O97" t="str">
        <f>IF(OR($O$4="Ertrag",$O$4="Ertrag Zierpflanzen",$O$4="Ertrag Gemüse",$O$4="Ertrag Baumschule",$O$4="Ertrag Obstbau",$O$4="Ertrag Landwirtschaft",$O$4="Ertrag Handel"),"",IF($A97&gt;0,"F"&amp;$A97&amp;"_"&amp;$O$5,IF($B97&gt;0,"F"&amp;$B97&amp;"_"&amp;$O$5,"F"&amp;$C97&amp;"_"&amp;$O$5)))</f>
        <v/>
      </c>
    </row>
    <row r="98" spans="1:15" x14ac:dyDescent="0.3">
      <c r="C98">
        <v>3433</v>
      </c>
      <c r="D98" t="s">
        <v>168</v>
      </c>
      <c r="E98" t="s">
        <v>168</v>
      </c>
      <c r="I98" s="4">
        <v>372</v>
      </c>
      <c r="L98" t="s">
        <v>20</v>
      </c>
      <c r="M98" t="str">
        <f t="shared" ref="M98" si="20">IF(OR($M$4="Arbeitskräfte",$M$4="Arbeitskräfte Direktabsatz"),"",IF(A98&gt;0,"F"&amp;A98&amp;"_"&amp;$M$5,IF(B98&gt;0,"F"&amp;B98&amp;"_"&amp;$M$5,"F"&amp;C98&amp;"_"&amp;$M$5)))</f>
        <v/>
      </c>
      <c r="N98" t="str">
        <f t="shared" si="19"/>
        <v/>
      </c>
      <c r="O98" t="str">
        <f>IF(OR($O$4="Ertrag",$O$4="Ertrag Zierpflanzen",$O$4="Ertrag Gemüse",$O$4="Ertrag Baumschule",$O$4="Ertrag Obstbau",$O$4="Ertrag Landwirtschaft",$O$4="Ertrag Handel"),"",IF($A98&gt;0,"F"&amp;$A98&amp;"_"&amp;$O$5,IF($B98&gt;0,"F"&amp;$B98&amp;"_"&amp;$O$5,"F"&amp;$C98&amp;"_"&amp;$O$5)))</f>
        <v/>
      </c>
    </row>
    <row r="99" spans="1:15" x14ac:dyDescent="0.3">
      <c r="C99">
        <v>3434</v>
      </c>
      <c r="D99" t="s">
        <v>176</v>
      </c>
      <c r="E99" t="s">
        <v>176</v>
      </c>
      <c r="I99" s="4">
        <v>373</v>
      </c>
      <c r="L99" t="s">
        <v>20</v>
      </c>
      <c r="M99" t="str">
        <f>IF(OR($M$4="Arbeitskräfte",$M$4="Arbeitskräfte Direktabsatz",$M$4="Arbeitskräfte Eigenproduktion"),"",IF(A99&gt;0,"F"&amp;A99&amp;"_"&amp;$M$5,IF(B99&gt;0,"F"&amp;B99&amp;"_"&amp;$M$5,"F"&amp;C99&amp;"_"&amp;$M$5)))</f>
        <v/>
      </c>
      <c r="N99" t="str">
        <f t="shared" si="19"/>
        <v/>
      </c>
      <c r="O99" t="str">
        <f>IF(OR($O$4="Ertrag",$O$4="Ertrag Zierpflanzen",$O$4="Ertrag Gemüse",$O$4="Ertrag Baumschule",$O$4="Ertrag Obstbau",$O$4="Ertrag Landwirtschaft",$O$4="Ertrag Handel"),"",IF($A99&gt;0,"F"&amp;$A99&amp;"_"&amp;$O$5,IF($B99&gt;0,"F"&amp;$B99&amp;"_"&amp;$O$5,"F"&amp;$C99&amp;"_"&amp;$O$5)))</f>
        <v/>
      </c>
    </row>
    <row r="102" spans="1:15" x14ac:dyDescent="0.3">
      <c r="A102" s="1" t="s">
        <v>184</v>
      </c>
      <c r="B102" s="1"/>
      <c r="C102" s="1"/>
    </row>
    <row r="103" spans="1:15" x14ac:dyDescent="0.3">
      <c r="A103" s="1"/>
      <c r="B103" s="1"/>
      <c r="C103" s="1"/>
    </row>
    <row r="104" spans="1:15" x14ac:dyDescent="0.3">
      <c r="B104">
        <v>3510</v>
      </c>
      <c r="D104" t="s">
        <v>2076</v>
      </c>
      <c r="E104" t="s">
        <v>74</v>
      </c>
      <c r="F104" t="s">
        <v>75</v>
      </c>
      <c r="J104" t="str">
        <f>VLOOKUP("E-Zierpflanzen",Hilfstabelle!C2:D451,2,FALSE)&amp;"*((i1001+i1002+i1011+i1012+i1013+i1014+i1015+i1016+i1021+i1022+i1023+i1031+i1032+i1033+i1034+i1035+i1036+i1037+i1038+i1039+i1051+i1052+i1053+i1054+i1055+i1056+i1057+i1058+i1059+i1060+i1061+i1071+i1072+i1073+i1074)/!100)"</f>
        <v>F3210*((i1001+i1002+i1011+i1012+i1013+i1014+i1015+i1016+i1021+i1022+i1023+i1031+i1032+i1033+i1034+i1035+i1036+i1037+i1038+i1039+i1051+i1052+i1053+i1054+i1055+i1056+i1057+i1058+i1059+i1060+i1061+i1071+i1072+i1073+i1074)/!100)</v>
      </c>
      <c r="L104" t="s">
        <v>20</v>
      </c>
      <c r="M104" t="str">
        <f>IF(OR($M$4="Arbeitskräfte",$M$4="Arbeitskräfte Direktabsatz",$M$4="Arbeitskräfte Dienstleistung"),"",IF(A104&gt;0,"F"&amp;A104&amp;"_"&amp;$M$5,IF(B104&gt;0,"F"&amp;B104&amp;"_"&amp;$M$5,"F"&amp;C104&amp;"_"&amp;$M$5)))</f>
        <v/>
      </c>
      <c r="N104" t="str">
        <f>IF(OR($N$4="Flächen", $N$4="Fläche Gemüsebau",$N$4="Fläche Baumschule",$N$4="Fläche Obstbau",$N$4="Landwirtschaftliche Fläche"),"",IF($A104&gt;0,"F"&amp;$A104&amp;"_"&amp;$N$5,IF($B104&gt;0,"F"&amp;$B104&amp;"_"&amp;$N$5,"F"&amp;$C104&amp;"_"&amp;$N$5)))</f>
        <v/>
      </c>
      <c r="O104" t="str">
        <f>IF(OR($O$4="Ertrag",$O$4="Ertrag Gemüse",$O$4="Ertrag Baumschule",$O$4="Ertrag Obstbau",$O$4="Ertrag Landwirtschaft",$O$4="Ertrag Handel",$O$4="Ertrag Dienstleistung"),"",IF($A104&gt;0,"F"&amp;$A104&amp;"_"&amp;$O$5,IF($B104&gt;0,"F"&amp;$B104&amp;"_"&amp;$O$5,"F"&amp;$C104&amp;"_"&amp;$O$5)))</f>
        <v/>
      </c>
    </row>
    <row r="105" spans="1:15" x14ac:dyDescent="0.3">
      <c r="C105">
        <v>3511</v>
      </c>
      <c r="D105" t="s">
        <v>1665</v>
      </c>
      <c r="E105" t="s">
        <v>98</v>
      </c>
      <c r="J105" t="str">
        <f>VLOOKUP("E-Zierpflanzen",Hilfstabelle!C2:D451,2,FALSE)&amp;"*((i1001+i1002+i1023+i1031+i1032+i1033+i1034+i1035+i1036+i1037+i1038+i1039+i1051+i1052+i1053+i1054+i1055+i1056+i1058+i1059+i1060+i1061+i1071+i1072+i1073+i1074)/!100)"</f>
        <v>F3210*((i1001+i1002+i1023+i1031+i1032+i1033+i1034+i1035+i1036+i1037+i1038+i1039+i1051+i1052+i1053+i1054+i1055+i1056+i1058+i1059+i1060+i1061+i1071+i1072+i1073+i1074)/!100)</v>
      </c>
      <c r="L105" t="s">
        <v>20</v>
      </c>
      <c r="M105" t="str">
        <f t="shared" ref="M105:M124" si="21">IF(OR($M$4="Arbeitskräfte",$M$4="Arbeitskräfte Direktabsatz",$M$4="Arbeitskräfte Dienstleistung"),"",IF(A105&gt;0,"F"&amp;A105&amp;"_"&amp;$M$5,IF(B105&gt;0,"F"&amp;B105&amp;"_"&amp;$M$5,"F"&amp;C105&amp;"_"&amp;$M$5)))</f>
        <v/>
      </c>
      <c r="N105" t="str">
        <f t="shared" ref="N105:N124" si="22">IF(OR($N$4="Flächen", $N$4="Fläche Gemüsebau",$N$4="Fläche Baumschule",$N$4="Fläche Obstbau",$N$4="Landwirtschaftliche Fläche"),"",IF($A105&gt;0,"F"&amp;$A105&amp;"_"&amp;$N$5,IF($B105&gt;0,"F"&amp;$B105&amp;"_"&amp;$N$5,"F"&amp;$C105&amp;"_"&amp;$N$5)))</f>
        <v/>
      </c>
      <c r="O105" t="str">
        <f t="shared" ref="O105:O124" si="23">IF(OR($O$4="Ertrag",$O$4="Ertrag Gemüse",$O$4="Ertrag Baumschule",$O$4="Ertrag Obstbau",$O$4="Ertrag Landwirtschaft",$O$4="Ertrag Handel",$O$4="Ertrag Dienstleistung"),"",IF($A105&gt;0,"F"&amp;$A105&amp;"_"&amp;$O$5,IF($B105&gt;0,"F"&amp;$B105&amp;"_"&amp;$O$5,"F"&amp;$C105&amp;"_"&amp;$O$5)))</f>
        <v/>
      </c>
    </row>
    <row r="106" spans="1:15" x14ac:dyDescent="0.3">
      <c r="C106">
        <v>3512</v>
      </c>
      <c r="D106" t="s">
        <v>1648</v>
      </c>
      <c r="E106" t="s">
        <v>73</v>
      </c>
      <c r="J106" t="str">
        <f>VLOOKUP("E-Zierpflanzen",Hilfstabelle!C2:D451,2,FALSE)&amp;"*((i1001+i1002+i1011+i1012+i1013+i1014+i1015+i1016+i1021+i1022+i1023+i1031+i1032+i1033+i1034+i1035+i1036+i1037+i1038+i1039)/!100)"</f>
        <v>F3210*((i1001+i1002+i1011+i1012+i1013+i1014+i1015+i1016+i1021+i1022+i1023+i1031+i1032+i1033+i1034+i1035+i1036+i1037+i1038+i1039)/!100)</v>
      </c>
      <c r="L106" t="s">
        <v>20</v>
      </c>
      <c r="M106" t="str">
        <f t="shared" si="21"/>
        <v/>
      </c>
      <c r="N106" t="str">
        <f t="shared" si="22"/>
        <v/>
      </c>
      <c r="O106" t="str">
        <f t="shared" si="23"/>
        <v/>
      </c>
    </row>
    <row r="107" spans="1:15" x14ac:dyDescent="0.3">
      <c r="C107">
        <v>3513</v>
      </c>
      <c r="D107" t="s">
        <v>1649</v>
      </c>
      <c r="E107" t="s">
        <v>76</v>
      </c>
      <c r="F107" t="s">
        <v>77</v>
      </c>
      <c r="J107" t="str">
        <f>VLOOKUP("E-Zierpflanzen",Hilfstabelle!C2:D451,2,FALSE)&amp;"*((i1071+i1072+i1073+i1074)/!100)"</f>
        <v>F3210*((i1071+i1072+i1073+i1074)/!100)</v>
      </c>
      <c r="L107" t="s">
        <v>20</v>
      </c>
      <c r="M107" t="str">
        <f t="shared" si="21"/>
        <v/>
      </c>
      <c r="N107" t="str">
        <f>IF(OR($N$4="Flächen", $N$4="Fläche Gemüsebau",$N$4="Fläche Baumschule",$N$4="Fläche Obstbau",$N$4="Landwirtschaftliche Fläche",$N$4="Glasfläche"),"",IF($A107&gt;0,"F"&amp;$A107&amp;"_"&amp;$N$5,IF($B107&gt;0,"F"&amp;$B107&amp;"_"&amp;$N$5,"F"&amp;$C107&amp;"_"&amp;$N$5)))</f>
        <v/>
      </c>
      <c r="O107" t="str">
        <f t="shared" si="23"/>
        <v/>
      </c>
    </row>
    <row r="108" spans="1:15" x14ac:dyDescent="0.3">
      <c r="C108">
        <v>3514</v>
      </c>
      <c r="D108" t="s">
        <v>1650</v>
      </c>
      <c r="E108" t="s">
        <v>78</v>
      </c>
      <c r="J108" t="str">
        <f>VLOOKUP("E-Zierpflanzen",Hilfstabelle!C2:D451,2,FALSE)&amp;"*((i1051+i1052+i1053+i1054+i1055+i1056+i1057+i1058+i1059+i1060+i1061)/!100)"</f>
        <v>F3210*((i1051+i1052+i1053+i1054+i1055+i1056+i1057+i1058+i1059+i1060+i1061)/!100)</v>
      </c>
      <c r="L108" t="s">
        <v>20</v>
      </c>
      <c r="M108" t="str">
        <f t="shared" si="21"/>
        <v/>
      </c>
      <c r="N108" t="str">
        <f>IF(OR($N$4="Flächen", $N$4="Fläche Zierpflanzenbau",$N$4="Fläche Baumschule",$N$4="Fläche Obstbau",$N$4="Landwirtschaftliche Fläche",$N$4="Fläche Freiland-Produktion insgesamt"),"",IF($A108&gt;0,"F"&amp;$A108&amp;"_"&amp;$N$5,IF($B108&gt;0,"F"&amp;$B108&amp;"_"&amp;$N$5,"F"&amp;$C108&amp;"_"&amp;$N$5)))</f>
        <v/>
      </c>
      <c r="O108" t="str">
        <f t="shared" si="23"/>
        <v/>
      </c>
    </row>
    <row r="109" spans="1:15" x14ac:dyDescent="0.3">
      <c r="C109">
        <v>3515</v>
      </c>
      <c r="D109" t="s">
        <v>90</v>
      </c>
      <c r="J109" t="str">
        <f>VLOOKUP("E-Zierpflanzen",Hilfstabelle!C2:D451,2,FALSE)&amp;"*((i1031+i1032+i1033+i1034+i1035+i1036+i1037+i1038+i1039)/!100)"</f>
        <v>F3210*((i1031+i1032+i1033+i1034+i1035+i1036+i1037+i1038+i1039)/!100)</v>
      </c>
      <c r="L109" t="s">
        <v>20</v>
      </c>
      <c r="M109" t="str">
        <f t="shared" si="21"/>
        <v/>
      </c>
      <c r="N109" t="str">
        <f t="shared" si="22"/>
        <v/>
      </c>
      <c r="O109" t="str">
        <f t="shared" si="23"/>
        <v/>
      </c>
    </row>
    <row r="110" spans="1:15" x14ac:dyDescent="0.3">
      <c r="C110">
        <v>3516</v>
      </c>
      <c r="D110" t="s">
        <v>1651</v>
      </c>
      <c r="E110" t="s">
        <v>97</v>
      </c>
      <c r="F110" t="s">
        <v>91</v>
      </c>
      <c r="J110" t="str">
        <f>VLOOKUP("E-Zierpflanzen",Hilfstabelle!C2:D451,2,FALSE)&amp;"*((i1023)/!100)"</f>
        <v>F3210*((i1023)/!100)</v>
      </c>
      <c r="K110" t="str">
        <f>VLOOKUP("E-Zierpflanzen",Hilfstabelle!C2:D451,2,FALSE)&amp;"*((i1021+i1022+i1023)/!100)"</f>
        <v>F3210*((i1021+i1022+i1023)/!100)</v>
      </c>
      <c r="L110" t="s">
        <v>20</v>
      </c>
      <c r="M110" t="str">
        <f t="shared" si="21"/>
        <v/>
      </c>
      <c r="N110" t="str">
        <f t="shared" si="22"/>
        <v/>
      </c>
      <c r="O110" t="str">
        <f t="shared" si="23"/>
        <v/>
      </c>
    </row>
    <row r="111" spans="1:15" x14ac:dyDescent="0.3">
      <c r="C111">
        <v>3517</v>
      </c>
      <c r="D111" t="s">
        <v>1653</v>
      </c>
      <c r="J111" t="str">
        <f>VLOOKUP("E-Zierpflanzen",Hilfstabelle!C2:D451,2,FALSE)&amp;"*((i1002+i1011+i1012+i1013+i1014+i1015+i1016)/!100)"</f>
        <v>F3210*((i1002+i1011+i1012+i1013+i1014+i1015+i1016)/!100)</v>
      </c>
      <c r="L111" t="s">
        <v>20</v>
      </c>
      <c r="M111" t="str">
        <f t="shared" si="21"/>
        <v/>
      </c>
      <c r="N111" t="str">
        <f t="shared" si="22"/>
        <v/>
      </c>
      <c r="O111" t="str">
        <f t="shared" si="23"/>
        <v/>
      </c>
    </row>
    <row r="112" spans="1:15" x14ac:dyDescent="0.3">
      <c r="C112">
        <v>3518</v>
      </c>
      <c r="D112" t="s">
        <v>1661</v>
      </c>
      <c r="E112" t="s">
        <v>93</v>
      </c>
      <c r="J112" t="str">
        <f>VLOOKUP("E-Zierpflanzen",Hilfstabelle!C2:D451,2,FALSE)&amp;"*((i1011+i1012+i1013+i1014+i1015+i1016)/!100)"</f>
        <v>F3210*((i1011+i1012+i1013+i1014+i1015+i1016)/!100)</v>
      </c>
      <c r="L112" t="s">
        <v>20</v>
      </c>
      <c r="M112" t="str">
        <f t="shared" si="21"/>
        <v/>
      </c>
      <c r="N112" t="str">
        <f t="shared" si="22"/>
        <v/>
      </c>
      <c r="O112" t="str">
        <f t="shared" si="23"/>
        <v/>
      </c>
    </row>
    <row r="113" spans="3:15" x14ac:dyDescent="0.3">
      <c r="C113">
        <v>3519</v>
      </c>
      <c r="D113" t="s">
        <v>88</v>
      </c>
      <c r="E113" t="s">
        <v>89</v>
      </c>
      <c r="J113" t="str">
        <f>VLOOKUP("E-Zierpflanzen",Hilfstabelle!C2:D451,2,FALSE)&amp;"*((i1001+i1002)/!100)"</f>
        <v>F3210*((i1001+i1002)/!100)</v>
      </c>
      <c r="L113" t="s">
        <v>20</v>
      </c>
      <c r="M113" t="str">
        <f t="shared" si="21"/>
        <v/>
      </c>
      <c r="N113" t="str">
        <f t="shared" si="22"/>
        <v/>
      </c>
      <c r="O113" t="str">
        <f t="shared" si="23"/>
        <v/>
      </c>
    </row>
    <row r="114" spans="3:15" x14ac:dyDescent="0.3">
      <c r="C114">
        <v>3520</v>
      </c>
      <c r="D114" t="s">
        <v>1652</v>
      </c>
      <c r="J114" t="str">
        <f>VLOOKUP("E-Zierpflanzen",Hilfstabelle!C2:D451,2,FALSE)&amp;"*((i1032+i1035+i1036+i1038+i1039)/!100)"</f>
        <v>F3210*((i1032+i1035+i1036+i1038+i1039)/!100)</v>
      </c>
      <c r="L114" t="s">
        <v>20</v>
      </c>
      <c r="M114" t="str">
        <f t="shared" si="21"/>
        <v/>
      </c>
      <c r="N114" t="str">
        <f t="shared" si="22"/>
        <v/>
      </c>
      <c r="O114" t="str">
        <f t="shared" si="23"/>
        <v/>
      </c>
    </row>
    <row r="115" spans="3:15" x14ac:dyDescent="0.3">
      <c r="C115">
        <v>3521</v>
      </c>
      <c r="D115" t="s">
        <v>1654</v>
      </c>
      <c r="E115" t="s">
        <v>84</v>
      </c>
      <c r="J115" t="str">
        <f>VLOOKUP("E-Zierpflanzen",Hilfstabelle!C2:D451,2,FALSE)&amp;"*(i1071/!100)"</f>
        <v>F3210*(i1071/!100)</v>
      </c>
      <c r="L115" t="s">
        <v>20</v>
      </c>
      <c r="M115" t="str">
        <f t="shared" si="21"/>
        <v/>
      </c>
      <c r="N115" t="str">
        <f>IF(OR($N$4="Flächen", $N$4="Fläche Gemüsebau",$N$4="Fläche Baumschule",$N$4="Fläche Obstbau",$N$4="Landwirtschaftliche Fläche",$N$4="Glasfläche"),"",IF($A115&gt;0,"F"&amp;$A115&amp;"_"&amp;$N$5,IF($B115&gt;0,"F"&amp;$B115&amp;"_"&amp;$N$5,"F"&amp;$C115&amp;"_"&amp;$N$5)))</f>
        <v/>
      </c>
      <c r="O115" t="str">
        <f t="shared" si="23"/>
        <v/>
      </c>
    </row>
    <row r="116" spans="3:15" x14ac:dyDescent="0.3">
      <c r="C116">
        <v>3522</v>
      </c>
      <c r="D116" t="s">
        <v>1655</v>
      </c>
      <c r="E116" t="s">
        <v>85</v>
      </c>
      <c r="J116" t="str">
        <f>VLOOKUP("E-Zierpflanzen",Hilfstabelle!C2:D451,2,FALSE)&amp;"*(i1051/!100)"</f>
        <v>F3210*(i1051/!100)</v>
      </c>
      <c r="L116" t="s">
        <v>20</v>
      </c>
      <c r="M116" t="str">
        <f t="shared" si="21"/>
        <v/>
      </c>
      <c r="N116" t="str">
        <f>IF(OR($N$4="Flächen", $N$4="Fläche Zierpflanzenbau",$N$4="Fläche Baumschule",$N$4="Fläche Obstbau",$N$4="Landwirtschaftliche Fläche",$N$4="Fläche Freiland-Produktion insgesamt"),"",IF($A116&gt;0,"F"&amp;$A116&amp;"_"&amp;$N$5,IF($B116&gt;0,"F"&amp;$B116&amp;"_"&amp;$N$5,"F"&amp;$C116&amp;"_"&amp;$N$5)))</f>
        <v/>
      </c>
      <c r="O116" t="str">
        <f t="shared" si="23"/>
        <v/>
      </c>
    </row>
    <row r="117" spans="3:15" x14ac:dyDescent="0.3">
      <c r="C117">
        <v>3523</v>
      </c>
      <c r="D117" t="s">
        <v>1658</v>
      </c>
      <c r="J117" t="str">
        <f>VLOOKUP("E-Zierpflanzen",Hilfstabelle!C2:D451,2,FALSE)&amp;"*((i1012+i1013)/!100)"</f>
        <v>F3210*((i1012+i1013)/!100)</v>
      </c>
      <c r="L117" t="s">
        <v>20</v>
      </c>
      <c r="M117" t="str">
        <f t="shared" si="21"/>
        <v/>
      </c>
      <c r="N117" t="str">
        <f t="shared" si="22"/>
        <v/>
      </c>
      <c r="O117" t="str">
        <f t="shared" si="23"/>
        <v/>
      </c>
    </row>
    <row r="118" spans="3:15" x14ac:dyDescent="0.3">
      <c r="C118">
        <v>3524</v>
      </c>
      <c r="D118" t="s">
        <v>1659</v>
      </c>
      <c r="J118" t="str">
        <f>VLOOKUP("E-Zierpflanzen",Hilfstabelle!C2:D451,2,FALSE)&amp;"*((i1015+i1016+i1014)/!100)"</f>
        <v>F3210*((i1015+i1016+i1014)/!100)</v>
      </c>
      <c r="L118" t="s">
        <v>20</v>
      </c>
      <c r="M118" t="str">
        <f t="shared" si="21"/>
        <v/>
      </c>
      <c r="N118" t="str">
        <f t="shared" si="22"/>
        <v/>
      </c>
      <c r="O118" t="str">
        <f t="shared" si="23"/>
        <v/>
      </c>
    </row>
    <row r="119" spans="3:15" x14ac:dyDescent="0.3">
      <c r="C119">
        <v>3525</v>
      </c>
      <c r="D119" t="s">
        <v>1656</v>
      </c>
      <c r="E119" t="s">
        <v>86</v>
      </c>
      <c r="J119" t="str">
        <f>VLOOKUP("E-Zierpflanzen",Hilfstabelle!C2:D451,2,FALSE)&amp;"*((i1012+i1015)/!100)"</f>
        <v>F3210*((i1012+i1015)/!100)</v>
      </c>
      <c r="L119" t="s">
        <v>20</v>
      </c>
      <c r="M119" t="str">
        <f t="shared" si="21"/>
        <v/>
      </c>
      <c r="N119" t="str">
        <f t="shared" si="22"/>
        <v/>
      </c>
      <c r="O119" t="str">
        <f t="shared" si="23"/>
        <v/>
      </c>
    </row>
    <row r="120" spans="3:15" x14ac:dyDescent="0.3">
      <c r="C120">
        <v>3526</v>
      </c>
      <c r="D120" t="s">
        <v>1657</v>
      </c>
      <c r="E120" t="s">
        <v>87</v>
      </c>
      <c r="J120" t="str">
        <f>VLOOKUP("E-Zierpflanzen",Hilfstabelle!C2:D451,2,FALSE)&amp;"*((i1013+i1014)/!100)"</f>
        <v>F3210*((i1013+i1014)/!100)</v>
      </c>
      <c r="L120" t="s">
        <v>20</v>
      </c>
      <c r="M120" t="str">
        <f t="shared" si="21"/>
        <v/>
      </c>
      <c r="N120" t="str">
        <f t="shared" si="22"/>
        <v/>
      </c>
      <c r="O120" t="str">
        <f t="shared" si="23"/>
        <v/>
      </c>
    </row>
    <row r="121" spans="3:15" x14ac:dyDescent="0.3">
      <c r="C121">
        <v>3527</v>
      </c>
      <c r="D121" t="s">
        <v>1660</v>
      </c>
      <c r="E121" t="s">
        <v>92</v>
      </c>
      <c r="J121" t="str">
        <f>VLOOKUP("E-Zierpflanzen",Hilfstabelle!C2:D451,2,FALSE)&amp;"*(i1011/!100)"</f>
        <v>F3210*(i1011/!100)</v>
      </c>
      <c r="L121" t="s">
        <v>20</v>
      </c>
      <c r="M121" t="str">
        <f t="shared" si="21"/>
        <v/>
      </c>
      <c r="N121" t="str">
        <f t="shared" si="22"/>
        <v/>
      </c>
      <c r="O121" t="str">
        <f t="shared" si="23"/>
        <v/>
      </c>
    </row>
    <row r="122" spans="3:15" x14ac:dyDescent="0.3">
      <c r="C122">
        <v>3528</v>
      </c>
      <c r="D122" t="s">
        <v>1662</v>
      </c>
      <c r="E122" t="s">
        <v>94</v>
      </c>
      <c r="J122" t="str">
        <f>VLOOKUP("E-Zierpflanzen",Hilfstabelle!C2:D451,2,FALSE)&amp;"*(i1013/!100)"</f>
        <v>F3210*(i1013/!100)</v>
      </c>
      <c r="L122" t="s">
        <v>20</v>
      </c>
      <c r="M122" t="str">
        <f t="shared" si="21"/>
        <v/>
      </c>
      <c r="N122" t="str">
        <f t="shared" si="22"/>
        <v/>
      </c>
      <c r="O122" t="str">
        <f t="shared" si="23"/>
        <v/>
      </c>
    </row>
    <row r="123" spans="3:15" x14ac:dyDescent="0.3">
      <c r="C123">
        <v>3529</v>
      </c>
      <c r="D123" t="s">
        <v>1663</v>
      </c>
      <c r="E123" t="s">
        <v>95</v>
      </c>
      <c r="J123" t="str">
        <f>VLOOKUP("E-Zierpflanzen",Hilfstabelle!C2:D451,2,FALSE)&amp;"*((i1012+i1013+i1015)/!100)"</f>
        <v>F3210*((i1012+i1013+i1015)/!100)</v>
      </c>
      <c r="L123" t="s">
        <v>20</v>
      </c>
      <c r="M123" t="str">
        <f t="shared" si="21"/>
        <v/>
      </c>
      <c r="N123" t="str">
        <f t="shared" si="22"/>
        <v/>
      </c>
      <c r="O123" t="str">
        <f t="shared" si="23"/>
        <v/>
      </c>
    </row>
    <row r="124" spans="3:15" x14ac:dyDescent="0.3">
      <c r="C124">
        <v>3530</v>
      </c>
      <c r="D124" t="s">
        <v>1664</v>
      </c>
      <c r="E124" t="s">
        <v>96</v>
      </c>
      <c r="J124" t="str">
        <f>VLOOKUP("E-Zierpflanzen",Hilfstabelle!C2:D451,2,FALSE)&amp;"*(i1014/!100)"</f>
        <v>F3210*(i1014/!100)</v>
      </c>
      <c r="L124" t="s">
        <v>20</v>
      </c>
      <c r="M124" t="str">
        <f t="shared" si="21"/>
        <v/>
      </c>
      <c r="N124" t="str">
        <f t="shared" si="22"/>
        <v/>
      </c>
      <c r="O124" t="str">
        <f t="shared" si="23"/>
        <v/>
      </c>
    </row>
    <row r="129" spans="2:15" x14ac:dyDescent="0.3">
      <c r="B129">
        <v>3540</v>
      </c>
      <c r="D129" t="s">
        <v>114</v>
      </c>
      <c r="E129" t="s">
        <v>115</v>
      </c>
      <c r="J129" t="str">
        <f>VLOOKUP("E-Gemüse",Hilfstabelle!C2:D451,2,FALSE)&amp;"*((i2001+i2002+i2003+i2004+i2006+i2005+i2011+i2012+i2013+i2014+i2021+i2022+i2023+i2024+i2025+i2026+i2031)/!100)"</f>
        <v>F3220*((i2001+i2002+i2003+i2004+i2006+i2005+i2011+i2012+i2013+i2014+i2021+i2022+i2023+i2024+i2025+i2026+i2031)/!100)</v>
      </c>
      <c r="L129" t="s">
        <v>181</v>
      </c>
      <c r="M129" t="str">
        <f t="shared" ref="M129:M135" si="24">IF(OR($M$4="Arbeitskräfte",$M$4="Arbeitskräfte Direktabsatz",$M$4="Arbeitskräfte Dienstleistung"),"",IF(A129&gt;0,"F"&amp;A129&amp;"_"&amp;$M$5,IF(B129&gt;0,"F"&amp;B129&amp;"_"&amp;$M$5,"F"&amp;C129&amp;"_"&amp;$M$5)))</f>
        <v/>
      </c>
      <c r="N129" t="str">
        <f>IF(OR($N$4="Flächen", $N$4="Fläche Zierpflanzenbau",$N$4="Fläche Baumschule",$N$4="Fläche Obstbau",$N$4="Landwirtschaftliche Fläche"),"",IF($A129&gt;0,"F"&amp;$A129&amp;"_"&amp;$N$5,IF($B129&gt;0,"F"&amp;$B129&amp;"_"&amp;$N$5,"F"&amp;$C129&amp;"_"&amp;$N$5)))</f>
        <v/>
      </c>
      <c r="O129" t="str">
        <f>IF(OR($O$4="Ertrag",$O$4="Ertrag Zierpflanzen",$O$4="Ertrag Baumschule",$O$4="Ertrag Obstbau",$O$4="Ertrag Landwirtschaft",$O$4="Ertrag Handel",$O$4="Ertrag Dienstleistung"),"",IF($A129&gt;0,"F"&amp;$A129&amp;"_"&amp;$O$5,IF($B129&gt;0,"F"&amp;$B129&amp;"_"&amp;$O$5,"F"&amp;$C129&amp;"_"&amp;$O$5)))</f>
        <v/>
      </c>
    </row>
    <row r="130" spans="2:15" x14ac:dyDescent="0.3">
      <c r="C130">
        <v>3541</v>
      </c>
      <c r="D130" t="s">
        <v>108</v>
      </c>
      <c r="E130" t="s">
        <v>109</v>
      </c>
      <c r="J130" t="str">
        <f>VLOOKUP("E-Gemüse",Hilfstabelle!C2:D451,2,FALSE)&amp;"*((i2001+i2002+i2003+i2004+i2005+i2011+i2012+i2013+i2014)/!100)"</f>
        <v>F3220*((i2001+i2002+i2003+i2004+i2005+i2011+i2012+i2013+i2014)/!100)</v>
      </c>
      <c r="K130" t="s">
        <v>110</v>
      </c>
      <c r="L130" t="s">
        <v>181</v>
      </c>
      <c r="M130" t="str">
        <f t="shared" si="24"/>
        <v/>
      </c>
      <c r="N130" t="str">
        <f>IF(OR($N$4="Flächen", $N$4="Fläche Zierpflanzenbau",$N$4="Fläche Baumschule",$N$4="Fläche Obstbau",$N$4="Landwirtschaftliche Fläche",$N$4="Glasfläche"),"",IF($A130&gt;0,"F"&amp;$A130&amp;"_"&amp;$N$5,IF($B130&gt;0,"F"&amp;$B130&amp;"_"&amp;$N$5,"F"&amp;$C130&amp;"_"&amp;$N$5)))</f>
        <v/>
      </c>
      <c r="O130" t="str">
        <f t="shared" ref="O130:O135" si="25">IF(OR($O$4="Ertrag",$O$4="Ertrag Zierpflanzen",$O$4="Ertrag Baumschule",$O$4="Ertrag Obstbau",$O$4="Ertrag Landwirtschaft",$O$4="Ertrag Handel",$O$4="Ertrag Dienstleistung"),"",IF($A130&gt;0,"F"&amp;$A130&amp;"_"&amp;$O$5,IF($B130&gt;0,"F"&amp;$B130&amp;"_"&amp;$O$5,"F"&amp;$C130&amp;"_"&amp;$O$5)))</f>
        <v/>
      </c>
    </row>
    <row r="131" spans="2:15" x14ac:dyDescent="0.3">
      <c r="C131">
        <v>3542</v>
      </c>
      <c r="D131" t="s">
        <v>111</v>
      </c>
      <c r="E131" t="s">
        <v>112</v>
      </c>
      <c r="F131" t="s">
        <v>113</v>
      </c>
      <c r="J131" t="str">
        <f>VLOOKUP("E-Gemüse",Hilfstabelle!C2:D451,2,FALSE)&amp;"*((i2021+i2022+i2023+i2024+i2025+i2026)/!100)"</f>
        <v>F3220*((i2021+i2022+i2023+i2024+i2025+i2026)/!100)</v>
      </c>
      <c r="L131" t="s">
        <v>181</v>
      </c>
      <c r="M131" t="str">
        <f t="shared" si="24"/>
        <v/>
      </c>
      <c r="N131" t="str">
        <f>IF(OR($N$4="Flächen", $N$4="Fläche Zierpflanzenbau",$N$4="Fläche Baumschule",$N$4="Fläche Obstbau",$N$4="Landwirtschaftliche Fläche",$N$4="Fläche Freiland-Produktion insgesamt"),"",IF($A131&gt;0,"F"&amp;$A131&amp;"_"&amp;$N$5,IF($B131&gt;0,"F"&amp;$B131&amp;"_"&amp;$N$5,"F"&amp;$C131&amp;"_"&amp;$N$5)))</f>
        <v/>
      </c>
      <c r="O131" t="str">
        <f t="shared" si="25"/>
        <v/>
      </c>
    </row>
    <row r="132" spans="2:15" x14ac:dyDescent="0.3">
      <c r="C132">
        <v>3543</v>
      </c>
      <c r="D132" t="s">
        <v>104</v>
      </c>
      <c r="J132" t="str">
        <f>VLOOKUP("E-Gemüse",Hilfstabelle!C2:D451,2,FALSE)&amp;"*((i2001+i2002+i2003+i2004+i2005+i2006)/!100)"</f>
        <v>F3220*((i2001+i2002+i2003+i2004+i2005+i2006)/!100)</v>
      </c>
      <c r="L132" t="s">
        <v>181</v>
      </c>
      <c r="M132" t="str">
        <f t="shared" si="24"/>
        <v/>
      </c>
      <c r="N132" t="str">
        <f t="shared" ref="N132:N135" si="26">IF(OR($N$4="Flächen", $N$4="Fläche Zierpflanzenbau",$N$4="Fläche Baumschule",$N$4="Fläche Obstbau",$N$4="Landwirtschaftliche Fläche"),"",IF($A132&gt;0,"F"&amp;$A132&amp;"_"&amp;$N$5,IF($B132&gt;0,"F"&amp;$B132&amp;"_"&amp;$N$5,"F"&amp;$C132&amp;"_"&amp;$N$5)))</f>
        <v/>
      </c>
      <c r="O132" t="str">
        <f t="shared" si="25"/>
        <v/>
      </c>
    </row>
    <row r="133" spans="2:15" x14ac:dyDescent="0.3">
      <c r="C133">
        <v>3544</v>
      </c>
      <c r="D133" t="s">
        <v>105</v>
      </c>
      <c r="J133" t="str">
        <f>VLOOKUP("E-Gemüse",Hilfstabelle!C2:D451,2,FALSE)&amp;"*((i2011+i2012+i2013)"</f>
        <v>F3220*((i2011+i2012+i2013)</v>
      </c>
      <c r="L133" t="s">
        <v>181</v>
      </c>
      <c r="M133" t="str">
        <f t="shared" si="24"/>
        <v/>
      </c>
      <c r="N133" t="str">
        <f t="shared" si="26"/>
        <v/>
      </c>
      <c r="O133" t="str">
        <f t="shared" si="25"/>
        <v/>
      </c>
    </row>
    <row r="134" spans="2:15" x14ac:dyDescent="0.3">
      <c r="C134">
        <v>3545</v>
      </c>
      <c r="D134" t="s">
        <v>106</v>
      </c>
      <c r="J134" t="str">
        <f>VLOOKUP("E-Gemüse",Hilfstabelle!C2:D451,2,FALSE)&amp;"*((i2021+i2022+i2025)"</f>
        <v>F3220*((i2021+i2022+i2025)</v>
      </c>
      <c r="L134" t="s">
        <v>181</v>
      </c>
      <c r="M134" t="str">
        <f t="shared" si="24"/>
        <v/>
      </c>
      <c r="N134" t="str">
        <f t="shared" si="26"/>
        <v/>
      </c>
      <c r="O134" t="str">
        <f t="shared" si="25"/>
        <v/>
      </c>
    </row>
    <row r="135" spans="2:15" x14ac:dyDescent="0.3">
      <c r="C135">
        <v>3546</v>
      </c>
      <c r="D135" t="s">
        <v>107</v>
      </c>
      <c r="J135" t="str">
        <f>VLOOKUP("E-Gemüse",Hilfstabelle!C2:D451,2,FALSE)&amp;"*((i2021+i2022)"</f>
        <v>F3220*((i2021+i2022)</v>
      </c>
      <c r="L135" t="s">
        <v>181</v>
      </c>
      <c r="M135" t="str">
        <f t="shared" si="24"/>
        <v/>
      </c>
      <c r="N135" t="str">
        <f t="shared" si="26"/>
        <v/>
      </c>
      <c r="O135" t="str">
        <f t="shared" si="25"/>
        <v/>
      </c>
    </row>
    <row r="138" spans="2:15" x14ac:dyDescent="0.3">
      <c r="B138">
        <v>3550</v>
      </c>
      <c r="D138" t="s">
        <v>1502</v>
      </c>
      <c r="I138" s="4">
        <v>4001</v>
      </c>
      <c r="L138" t="s">
        <v>20</v>
      </c>
      <c r="M138" t="str">
        <f t="shared" ref="M138:M143" si="27">IF(OR($M$4="Arbeitskräfte",$M$4="Arbeitskräfte Direktabsatz",$M$4="Arbeitskräfte Dienstleistung"),"",IF(A138&gt;0,"F"&amp;A138&amp;"_"&amp;$M$5,IF(B138&gt;0,"F"&amp;B138&amp;"_"&amp;$M$5,"F"&amp;C138&amp;"_"&amp;$M$5)))</f>
        <v/>
      </c>
      <c r="N138" t="str">
        <f>IF(OR($N$4="Flächen", $N$4="Fläche Gemüsebau",$N$4="Fläche Baumschule",$N$4="Fläche Zierpflanzenbau",$N$4="Landwirtschaftliche Fläche",$N$4="Glasfläche"),"",IF($A138&gt;0,"F"&amp;$A138&amp;"_"&amp;$N$5,IF($B138&gt;0,"F"&amp;$B138&amp;"_"&amp;$N$5,"F"&amp;$C138&amp;"_"&amp;$N$5)))</f>
        <v/>
      </c>
      <c r="O138" t="str">
        <f>IF(OR($O$4="Ertrag",$O$4="Ertrag Zierpflanzen",$O$4="Ertrag Gemüse",$O$4="Ertrag Baumschule",$O$4="Ertrag Landwirtschaft",$O$4="Ertrag Handel",$O$4="Ertrag Dienstleistung"),"",IF($A138&gt;0,"F"&amp;$A138&amp;"_"&amp;$O$5,IF($B138&gt;0,"F"&amp;$B138&amp;"_"&amp;$O$5,"F"&amp;$C138&amp;"_"&amp;$O$5)))</f>
        <v/>
      </c>
    </row>
    <row r="139" spans="2:15" x14ac:dyDescent="0.3">
      <c r="C139">
        <v>3551</v>
      </c>
      <c r="D139" t="s">
        <v>1917</v>
      </c>
      <c r="I139" s="4">
        <v>4005</v>
      </c>
      <c r="L139" t="s">
        <v>20</v>
      </c>
      <c r="M139" t="str">
        <f t="shared" si="27"/>
        <v/>
      </c>
      <c r="N139" t="str">
        <f t="shared" ref="N139:N143" si="28">IF(OR($N$4="Flächen", $N$4="Fläche Gemüsebau",$N$4="Fläche Baumschule",$N$4="Fläche Zierpflanzenbau",$N$4="Landwirtschaftliche Fläche",$N$4="Glasfläche"),"",IF($A139&gt;0,"F"&amp;$A139&amp;"_"&amp;$N$5,IF($B139&gt;0,"F"&amp;$B139&amp;"_"&amp;$N$5,"F"&amp;$C139&amp;"_"&amp;$N$5)))</f>
        <v/>
      </c>
      <c r="O139" t="str">
        <f t="shared" ref="O139:O143" si="29">IF(OR($O$4="Ertrag",$O$4="Ertrag Zierpflanzen",$O$4="Ertrag Gemüse",$O$4="Ertrag Baumschule",$O$4="Ertrag Landwirtschaft",$O$4="Ertrag Handel",$O$4="Ertrag Dienstleistung"),"",IF($A139&gt;0,"F"&amp;$A139&amp;"_"&amp;$O$5,IF($B139&gt;0,"F"&amp;$B139&amp;"_"&amp;$O$5,"F"&amp;$C139&amp;"_"&amp;$O$5)))</f>
        <v/>
      </c>
    </row>
    <row r="140" spans="2:15" x14ac:dyDescent="0.3">
      <c r="C140">
        <v>3552</v>
      </c>
      <c r="D140" t="s">
        <v>1504</v>
      </c>
      <c r="I140" s="4">
        <v>4003</v>
      </c>
      <c r="L140" t="s">
        <v>20</v>
      </c>
      <c r="M140" t="str">
        <f t="shared" si="27"/>
        <v/>
      </c>
      <c r="N140" t="str">
        <f t="shared" si="28"/>
        <v/>
      </c>
      <c r="O140" t="str">
        <f t="shared" si="29"/>
        <v/>
      </c>
    </row>
    <row r="141" spans="2:15" x14ac:dyDescent="0.3">
      <c r="C141">
        <v>3553</v>
      </c>
      <c r="D141" t="s">
        <v>1918</v>
      </c>
      <c r="I141" s="4">
        <v>4002</v>
      </c>
      <c r="L141" t="s">
        <v>20</v>
      </c>
      <c r="M141" t="str">
        <f t="shared" si="27"/>
        <v/>
      </c>
      <c r="N141" t="str">
        <f t="shared" si="28"/>
        <v/>
      </c>
      <c r="O141" t="str">
        <f t="shared" si="29"/>
        <v/>
      </c>
    </row>
    <row r="142" spans="2:15" x14ac:dyDescent="0.3">
      <c r="C142">
        <v>3554</v>
      </c>
      <c r="D142" t="s">
        <v>1919</v>
      </c>
      <c r="I142" s="4">
        <v>4004</v>
      </c>
      <c r="L142" t="s">
        <v>20</v>
      </c>
      <c r="M142" t="str">
        <f t="shared" si="27"/>
        <v/>
      </c>
      <c r="N142" t="str">
        <f t="shared" si="28"/>
        <v/>
      </c>
      <c r="O142" t="str">
        <f t="shared" si="29"/>
        <v/>
      </c>
    </row>
    <row r="143" spans="2:15" x14ac:dyDescent="0.3">
      <c r="C143">
        <v>3555</v>
      </c>
      <c r="D143" t="s">
        <v>2053</v>
      </c>
      <c r="I143" s="4">
        <v>4006</v>
      </c>
      <c r="L143" t="s">
        <v>20</v>
      </c>
      <c r="M143" t="str">
        <f t="shared" si="27"/>
        <v/>
      </c>
      <c r="N143" t="str">
        <f t="shared" si="28"/>
        <v/>
      </c>
      <c r="O143" t="str">
        <f t="shared" si="29"/>
        <v/>
      </c>
    </row>
  </sheetData>
  <mergeCells count="14">
    <mergeCell ref="A1:C1"/>
    <mergeCell ref="G1:H1"/>
    <mergeCell ref="I1:J1"/>
    <mergeCell ref="G2:H2"/>
    <mergeCell ref="I2:J2"/>
    <mergeCell ref="G3:H3"/>
    <mergeCell ref="I3:J3"/>
    <mergeCell ref="A4:C5"/>
    <mergeCell ref="M2:R2"/>
    <mergeCell ref="D4:D5"/>
    <mergeCell ref="F4:F5"/>
    <mergeCell ref="G4:G5"/>
    <mergeCell ref="J4:J5"/>
    <mergeCell ref="K4:K5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Hilfstabelle!$O$1:$O$6</xm:f>
          </x14:formula1>
          <xm:sqref>M4</xm:sqref>
        </x14:dataValidation>
        <x14:dataValidation type="list" allowBlank="1" showInputMessage="1" showErrorMessage="1" xr:uid="{00000000-0002-0000-0400-000001000000}">
          <x14:formula1>
            <xm:f>Hilfstabelle!$P$1:$P$12</xm:f>
          </x14:formula1>
          <xm:sqref>N4</xm:sqref>
        </x14:dataValidation>
        <x14:dataValidation type="list" allowBlank="1" showInputMessage="1" showErrorMessage="1" xr:uid="{00000000-0002-0000-0400-000002000000}">
          <x14:formula1>
            <xm:f>Hilfstabelle!$Q$1:$Q$11</xm:f>
          </x14:formula1>
          <xm:sqref>O4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77"/>
  <sheetViews>
    <sheetView workbookViewId="0">
      <selection activeCell="D157" sqref="D157"/>
    </sheetView>
  </sheetViews>
  <sheetFormatPr baseColWidth="10" defaultRowHeight="14.4" x14ac:dyDescent="0.3"/>
  <cols>
    <col min="1" max="3" width="5.33203125" customWidth="1"/>
    <col min="4" max="4" width="57.33203125" customWidth="1"/>
    <col min="5" max="5" width="47.6640625" customWidth="1"/>
    <col min="6" max="6" width="40.6640625" customWidth="1"/>
    <col min="7" max="9" width="11.6640625" customWidth="1"/>
    <col min="10" max="10" width="80.6640625" customWidth="1"/>
    <col min="11" max="11" width="22" hidden="1" customWidth="1"/>
    <col min="12" max="12" width="11.6640625" customWidth="1"/>
    <col min="13" max="18" width="16.6640625" customWidth="1"/>
  </cols>
  <sheetData>
    <row r="1" spans="1:18" x14ac:dyDescent="0.3">
      <c r="A1" s="34" t="str">
        <f>HYPERLINK("#Erläuterungen!A1","Erläuterungen")</f>
        <v>Erläuterungen</v>
      </c>
      <c r="B1" s="34"/>
      <c r="C1" s="34"/>
      <c r="G1" s="29" t="s">
        <v>1640</v>
      </c>
      <c r="H1" s="29"/>
      <c r="I1" s="29" t="s">
        <v>0</v>
      </c>
      <c r="J1" s="29"/>
    </row>
    <row r="2" spans="1:18" ht="21" x14ac:dyDescent="0.4">
      <c r="B2" s="27"/>
      <c r="C2" s="27"/>
      <c r="D2" s="25" t="s">
        <v>320</v>
      </c>
      <c r="F2" s="12" t="s">
        <v>1639</v>
      </c>
      <c r="G2" s="29">
        <v>4131</v>
      </c>
      <c r="H2" s="29"/>
      <c r="I2" s="29" t="str">
        <f>IF(G2&gt;0,VLOOKUP("F"&amp;G2,Hilfstabelle!A1:B451,2,FALSE),"")</f>
        <v>sonstige betriebliche Aufwendungen (ohne Abschreibung)</v>
      </c>
      <c r="J2" s="29"/>
      <c r="M2" s="30" t="s">
        <v>2</v>
      </c>
      <c r="N2" s="30"/>
      <c r="O2" s="30"/>
      <c r="P2" s="30"/>
      <c r="Q2" s="30"/>
      <c r="R2" s="30"/>
    </row>
    <row r="3" spans="1:18" x14ac:dyDescent="0.3">
      <c r="C3" s="1"/>
      <c r="D3" s="1"/>
      <c r="E3" s="1"/>
      <c r="F3" s="12" t="s">
        <v>1638</v>
      </c>
      <c r="G3" s="29">
        <v>420</v>
      </c>
      <c r="H3" s="29"/>
      <c r="I3" s="29" t="str">
        <f>IF(G3&gt;0,VLOOKUP(G3,Hilfstabelle!F1:G548,2,FALSE),"")</f>
        <v>Dienstl. Fremdf.</v>
      </c>
      <c r="J3" s="29"/>
      <c r="K3" s="1"/>
      <c r="L3" s="1"/>
      <c r="M3" s="1"/>
      <c r="N3" s="1"/>
      <c r="O3" s="1"/>
      <c r="P3" s="1"/>
      <c r="Q3" s="1"/>
      <c r="R3" s="1"/>
    </row>
    <row r="4" spans="1:18" x14ac:dyDescent="0.3">
      <c r="D4" s="31" t="s">
        <v>4</v>
      </c>
      <c r="E4" s="2"/>
      <c r="F4" s="31" t="s">
        <v>5</v>
      </c>
      <c r="G4" s="31" t="s">
        <v>6</v>
      </c>
      <c r="H4" s="2"/>
      <c r="I4" s="2"/>
      <c r="J4" s="31" t="s">
        <v>7</v>
      </c>
      <c r="K4" s="31" t="s">
        <v>8</v>
      </c>
      <c r="L4" s="1"/>
      <c r="M4" s="18" t="s">
        <v>185</v>
      </c>
      <c r="N4" s="18" t="s">
        <v>9</v>
      </c>
      <c r="O4" s="18" t="s">
        <v>10</v>
      </c>
      <c r="P4" s="18" t="s">
        <v>11</v>
      </c>
      <c r="Q4" s="18" t="s">
        <v>12</v>
      </c>
      <c r="R4" s="3" t="s">
        <v>13</v>
      </c>
    </row>
    <row r="5" spans="1:18" x14ac:dyDescent="0.3">
      <c r="A5" s="30" t="s">
        <v>3</v>
      </c>
      <c r="B5" s="30"/>
      <c r="C5" s="30"/>
      <c r="D5" s="31"/>
      <c r="E5" s="2" t="s">
        <v>14</v>
      </c>
      <c r="F5" s="31"/>
      <c r="G5" s="31"/>
      <c r="H5" s="2"/>
      <c r="I5" s="2" t="s">
        <v>15</v>
      </c>
      <c r="J5" s="31"/>
      <c r="K5" s="31"/>
      <c r="L5" s="1" t="s">
        <v>16</v>
      </c>
      <c r="M5" s="3" t="str">
        <f>IF(M4="Arbeitskräfte","1000",VLOOKUP(M4,Hilfstabelle!$B$1:$D$435,3,FALSE))</f>
        <v>1000</v>
      </c>
      <c r="N5" s="3" t="str">
        <f>IF(N4="Flächen","2000",VLOOKUP(N4,Hilfstabelle!$B$1:$D$435,3,FALSE))</f>
        <v>2000</v>
      </c>
      <c r="O5" s="3" t="str">
        <f>IF(O4="Ertrag","3000",VLOOKUP(O4,Hilfstabelle!$B$1:$D$435,3,FALSE))</f>
        <v>3000</v>
      </c>
      <c r="P5" s="3" t="str">
        <f>IF(P4="Aufwand","4000",VLOOKUP(P4,Hilfstabelle!$B$1:$D$435,3,FALSE))</f>
        <v>4000</v>
      </c>
      <c r="Q5" s="3" t="str">
        <f>IF(Q4="Vermögen","5000",VLOOKUP(Q4,Hilfstabelle!$B$1:$D$435,3,FALSE))</f>
        <v>5000</v>
      </c>
      <c r="R5" s="3">
        <v>6000</v>
      </c>
    </row>
    <row r="6" spans="1:18" x14ac:dyDescent="0.3">
      <c r="J6" s="4"/>
    </row>
    <row r="7" spans="1:18" x14ac:dyDescent="0.3">
      <c r="J7" s="4"/>
    </row>
    <row r="8" spans="1:18" x14ac:dyDescent="0.3">
      <c r="A8">
        <v>4000</v>
      </c>
      <c r="C8" s="6"/>
      <c r="D8" s="6" t="s">
        <v>1667</v>
      </c>
      <c r="E8" s="6" t="s">
        <v>322</v>
      </c>
      <c r="F8" s="6"/>
      <c r="G8" s="6"/>
      <c r="H8" s="6"/>
      <c r="I8" s="6"/>
      <c r="J8" t="s">
        <v>323</v>
      </c>
      <c r="L8" t="s">
        <v>20</v>
      </c>
      <c r="M8" t="str">
        <f>IF($M$4="Arbeitskräfte","",IF($A8&gt;0,"F"&amp;$A8&amp;"_"&amp;$M$5,IF($B8&gt;0,"F"&amp;$B8&amp;"_"&amp;$M$5,"F"&amp;$C8&amp;"_"&amp;$M$5)))</f>
        <v/>
      </c>
      <c r="N8" t="str">
        <f>IF($N$4="Flächen","",IF($A8&gt;0,"F"&amp;$A8&amp;"_"&amp;$N$5,IF($B8&gt;0,"F"&amp;$B8&amp;"_"&amp;$N$5,"F"&amp;$C8&amp;"_"&amp;$N$5)))</f>
        <v/>
      </c>
      <c r="O8" t="str">
        <f>IF($O$4="Ertrag","",IF($A8&gt;0,"F"&amp;$A8&amp;"_"&amp;$O$5,IF($B8&gt;0,"F"&amp;$B8&amp;"_"&amp;$O$5,"F"&amp;$C8&amp;"_"&amp;$O$5)))</f>
        <v/>
      </c>
    </row>
    <row r="9" spans="1:18" x14ac:dyDescent="0.3">
      <c r="C9" s="6">
        <v>4001</v>
      </c>
      <c r="D9" s="6" t="s">
        <v>324</v>
      </c>
      <c r="E9" s="6" t="s">
        <v>325</v>
      </c>
      <c r="F9" s="6"/>
      <c r="G9" s="6"/>
      <c r="H9" s="6"/>
      <c r="I9" s="6"/>
      <c r="J9" t="str">
        <f>VLOOKUP("UA",Hilfstabelle!C2:D451,2,FALSE)&amp;"/!1000"</f>
        <v>F4000/!1000</v>
      </c>
      <c r="L9" t="s">
        <v>548</v>
      </c>
      <c r="M9" t="str">
        <f t="shared" ref="M9:M18" si="0">IF($M$4="Arbeitskräfte","",IF($A9&gt;0,"F"&amp;$A9&amp;"_"&amp;$M$5,IF($B9&gt;0,"F"&amp;$B9&amp;"_"&amp;$M$5,"F"&amp;$C9&amp;"_"&amp;$M$5)))</f>
        <v/>
      </c>
      <c r="N9" t="str">
        <f t="shared" ref="N9:N72" si="1">IF($N$4="Flächen","",IF($A9&gt;0,"F"&amp;$A9&amp;"_"&amp;$N$5,IF($B9&gt;0,"F"&amp;$B9&amp;"_"&amp;$N$5,"F"&amp;$C9&amp;"_"&amp;$N$5)))</f>
        <v/>
      </c>
      <c r="O9" t="str">
        <f t="shared" ref="O9:O72" si="2">IF($O$4="Ertrag","",IF($A9&gt;0,"F"&amp;$A9&amp;"_"&amp;$O$5,IF($B9&gt;0,"F"&amp;$B9&amp;"_"&amp;$O$5,"F"&amp;$C9&amp;"_"&amp;$O$5)))</f>
        <v/>
      </c>
    </row>
    <row r="10" spans="1:18" x14ac:dyDescent="0.3">
      <c r="B10">
        <v>4010</v>
      </c>
      <c r="C10" s="6"/>
      <c r="D10" t="s">
        <v>1666</v>
      </c>
      <c r="E10" t="s">
        <v>11</v>
      </c>
      <c r="F10" t="s">
        <v>326</v>
      </c>
      <c r="J10" s="4" t="s">
        <v>327</v>
      </c>
      <c r="L10" t="s">
        <v>20</v>
      </c>
      <c r="M10" t="str">
        <f t="shared" si="0"/>
        <v/>
      </c>
      <c r="N10" t="str">
        <f t="shared" si="1"/>
        <v/>
      </c>
      <c r="O10" t="str">
        <f t="shared" si="2"/>
        <v/>
      </c>
      <c r="P10" t="str">
        <f>IF(OR($P$4="Aufwand",$P$4="Betriebsaufwand",$P$4="Lohnaufwand"),"",IF($A10&gt;0,"F"&amp;$A10&amp;"_"&amp;$P$5,IF($B10&gt;0,"F"&amp;$B10&amp;"_"&amp;$P$5,"F"&amp;$C10&amp;"_"&amp;$P$5)))</f>
        <v/>
      </c>
    </row>
    <row r="11" spans="1:18" x14ac:dyDescent="0.3">
      <c r="B11">
        <v>4020</v>
      </c>
      <c r="D11" t="s">
        <v>328</v>
      </c>
      <c r="E11" t="s">
        <v>329</v>
      </c>
      <c r="J11" s="4" t="s">
        <v>330</v>
      </c>
      <c r="L11" t="s">
        <v>20</v>
      </c>
      <c r="M11" t="str">
        <f t="shared" si="0"/>
        <v/>
      </c>
      <c r="N11" t="str">
        <f t="shared" si="1"/>
        <v/>
      </c>
      <c r="O11" t="str">
        <f t="shared" si="2"/>
        <v/>
      </c>
      <c r="P11" t="str">
        <f t="shared" ref="P11:P18" si="3">IF(OR($P$4="Aufwand",$P$4="Betriebsaufwand",$P$4="Lohnaufwand"),"",IF($A11&gt;0,"F"&amp;$A11&amp;"_"&amp;$P$5,IF($B11&gt;0,"F"&amp;$B11&amp;"_"&amp;$P$5,"F"&amp;$C11&amp;"_"&amp;$P$5)))</f>
        <v/>
      </c>
    </row>
    <row r="12" spans="1:18" x14ac:dyDescent="0.3">
      <c r="B12">
        <v>4030</v>
      </c>
      <c r="D12" t="s">
        <v>331</v>
      </c>
      <c r="E12" t="s">
        <v>332</v>
      </c>
      <c r="J12" s="4" t="s">
        <v>333</v>
      </c>
      <c r="L12" t="s">
        <v>20</v>
      </c>
      <c r="M12" t="str">
        <f t="shared" si="0"/>
        <v/>
      </c>
      <c r="N12" t="str">
        <f t="shared" si="1"/>
        <v/>
      </c>
      <c r="O12" t="str">
        <f t="shared" si="2"/>
        <v/>
      </c>
      <c r="P12" t="str">
        <f t="shared" si="3"/>
        <v/>
      </c>
    </row>
    <row r="13" spans="1:18" x14ac:dyDescent="0.3">
      <c r="C13">
        <v>4031</v>
      </c>
      <c r="D13" t="s">
        <v>334</v>
      </c>
      <c r="E13" t="s">
        <v>335</v>
      </c>
      <c r="J13" s="4" t="s">
        <v>336</v>
      </c>
      <c r="L13" t="s">
        <v>20</v>
      </c>
      <c r="M13" t="str">
        <f t="shared" si="0"/>
        <v/>
      </c>
      <c r="N13" t="str">
        <f t="shared" si="1"/>
        <v/>
      </c>
      <c r="O13" t="str">
        <f t="shared" si="2"/>
        <v/>
      </c>
      <c r="P13" t="str">
        <f t="shared" si="3"/>
        <v/>
      </c>
    </row>
    <row r="14" spans="1:18" x14ac:dyDescent="0.3">
      <c r="C14">
        <v>4032</v>
      </c>
      <c r="D14" t="s">
        <v>1952</v>
      </c>
      <c r="E14" t="s">
        <v>708</v>
      </c>
      <c r="J14" s="4" t="s">
        <v>338</v>
      </c>
      <c r="L14" t="s">
        <v>20</v>
      </c>
      <c r="M14" t="str">
        <f t="shared" si="0"/>
        <v/>
      </c>
      <c r="N14" t="str">
        <f t="shared" si="1"/>
        <v/>
      </c>
      <c r="O14" t="str">
        <f t="shared" si="2"/>
        <v/>
      </c>
      <c r="P14" t="str">
        <f t="shared" si="3"/>
        <v/>
      </c>
    </row>
    <row r="15" spans="1:18" x14ac:dyDescent="0.3">
      <c r="C15">
        <v>4033</v>
      </c>
      <c r="D15" t="s">
        <v>339</v>
      </c>
      <c r="E15" t="s">
        <v>340</v>
      </c>
      <c r="J15" s="4" t="s">
        <v>341</v>
      </c>
      <c r="L15" t="s">
        <v>20</v>
      </c>
      <c r="M15" t="str">
        <f t="shared" si="0"/>
        <v/>
      </c>
      <c r="N15" t="str">
        <f t="shared" si="1"/>
        <v/>
      </c>
      <c r="O15" t="str">
        <f t="shared" si="2"/>
        <v/>
      </c>
      <c r="P15" t="str">
        <f t="shared" si="3"/>
        <v/>
      </c>
    </row>
    <row r="16" spans="1:18" x14ac:dyDescent="0.3">
      <c r="C16">
        <v>4034</v>
      </c>
      <c r="D16" t="s">
        <v>337</v>
      </c>
      <c r="I16">
        <v>451</v>
      </c>
      <c r="J16" s="4"/>
      <c r="L16" t="s">
        <v>20</v>
      </c>
      <c r="M16" t="str">
        <f t="shared" si="0"/>
        <v/>
      </c>
      <c r="N16" t="str">
        <f t="shared" si="1"/>
        <v/>
      </c>
      <c r="O16" t="str">
        <f t="shared" si="2"/>
        <v/>
      </c>
      <c r="P16" t="str">
        <f t="shared" si="3"/>
        <v/>
      </c>
    </row>
    <row r="17" spans="1:16" x14ac:dyDescent="0.3">
      <c r="C17">
        <v>4035</v>
      </c>
      <c r="D17" t="s">
        <v>343</v>
      </c>
      <c r="I17">
        <v>452</v>
      </c>
      <c r="J17" s="4"/>
      <c r="L17" t="s">
        <v>20</v>
      </c>
      <c r="M17" t="str">
        <f t="shared" si="0"/>
        <v/>
      </c>
      <c r="N17" t="str">
        <f t="shared" si="1"/>
        <v/>
      </c>
      <c r="O17" t="str">
        <f t="shared" si="2"/>
        <v/>
      </c>
      <c r="P17" t="str">
        <f t="shared" si="3"/>
        <v/>
      </c>
    </row>
    <row r="18" spans="1:16" x14ac:dyDescent="0.3">
      <c r="C18">
        <v>4036</v>
      </c>
      <c r="D18" t="s">
        <v>345</v>
      </c>
      <c r="I18">
        <v>455</v>
      </c>
      <c r="J18" s="4"/>
      <c r="L18" t="s">
        <v>20</v>
      </c>
      <c r="M18" t="str">
        <f t="shared" si="0"/>
        <v/>
      </c>
      <c r="N18" t="str">
        <f t="shared" si="1"/>
        <v/>
      </c>
      <c r="O18" t="str">
        <f t="shared" si="2"/>
        <v/>
      </c>
      <c r="P18" t="str">
        <f t="shared" si="3"/>
        <v/>
      </c>
    </row>
    <row r="20" spans="1:16" x14ac:dyDescent="0.3">
      <c r="A20">
        <v>4100</v>
      </c>
      <c r="D20" t="s">
        <v>349</v>
      </c>
      <c r="E20" t="s">
        <v>350</v>
      </c>
      <c r="J20" s="4" t="str">
        <f>VLOOKUP("UA",Hilfstabelle!C2:D451,2,FALSE)&amp;"-"&amp;VLOOKUP("Sonst.UA",Hilfstabelle!C2:D451,2,FALSE)</f>
        <v>F4000-F4020</v>
      </c>
      <c r="L20" t="s">
        <v>20</v>
      </c>
      <c r="M20" t="str">
        <f>IF($M$4="Arbeitskräfte","",IF($A20&gt;0,"F"&amp;$A20&amp;"_"&amp;$M$5,IF($B20&gt;0,"F"&amp;$B20&amp;"_"&amp;$M$5,"F"&amp;$C20&amp;"_"&amp;$M$5)))</f>
        <v/>
      </c>
      <c r="N20" t="str">
        <f t="shared" si="1"/>
        <v/>
      </c>
      <c r="O20" t="str">
        <f t="shared" si="2"/>
        <v/>
      </c>
      <c r="P20" t="str">
        <f>IF(OR($P$4="Aufwand",$P$4="Betriebsaufwand",$P$4="Lohnaufwand"),"",IF($A20&gt;0,"F"&amp;$A20&amp;"_"&amp;$P$5,IF($B20&gt;0,"F"&amp;$B20&amp;"_"&amp;$P$5,"F"&amp;$C20&amp;"_"&amp;$P$5)))</f>
        <v/>
      </c>
    </row>
    <row r="21" spans="1:16" x14ac:dyDescent="0.3">
      <c r="C21">
        <v>4101</v>
      </c>
      <c r="D21" t="s">
        <v>351</v>
      </c>
      <c r="E21" t="s">
        <v>352</v>
      </c>
      <c r="J21" s="4" t="str">
        <f>VLOOKUP("BA",Hilfstabelle!C2:D451,2,FALSE)&amp;"/!1000"</f>
        <v>F4100/!1000</v>
      </c>
      <c r="L21" t="s">
        <v>548</v>
      </c>
      <c r="M21" t="str">
        <f t="shared" ref="M21:M81" si="4">IF($M$4="Arbeitskräfte","",IF($A21&gt;0,"F"&amp;$A21&amp;"_"&amp;$M$5,IF($B21&gt;0,"F"&amp;$B21&amp;"_"&amp;$M$5,"F"&amp;$C21&amp;"_"&amp;$M$5)))</f>
        <v/>
      </c>
      <c r="N21" t="str">
        <f t="shared" si="1"/>
        <v/>
      </c>
      <c r="O21" t="str">
        <f t="shared" si="2"/>
        <v/>
      </c>
      <c r="P21" t="str">
        <f>IF(OR($P$4="Aufwand",$P$4="Betriebsaufwand",$P$4="Lohnaufwand"),"",IF($A21&gt;0,"F"&amp;$A21&amp;"_"&amp;$P$5,IF($B21&gt;0,"F"&amp;$B21&amp;"_"&amp;$P$5,"F"&amp;$C21&amp;"_"&amp;$P$5)))</f>
        <v/>
      </c>
    </row>
    <row r="22" spans="1:16" x14ac:dyDescent="0.3">
      <c r="B22">
        <v>4110</v>
      </c>
      <c r="D22" t="s">
        <v>353</v>
      </c>
      <c r="E22" t="s">
        <v>354</v>
      </c>
      <c r="J22" s="4" t="str">
        <f>VLOOKUP("Aufwand",Hilfstabelle!C2:D451,2,FALSE)&amp;"-i451-i452-i458"</f>
        <v>F4010-i451-i452-i458</v>
      </c>
      <c r="L22" t="s">
        <v>20</v>
      </c>
      <c r="M22" t="str">
        <f t="shared" si="4"/>
        <v/>
      </c>
      <c r="N22" t="str">
        <f t="shared" si="1"/>
        <v/>
      </c>
      <c r="O22" t="str">
        <f t="shared" si="2"/>
        <v/>
      </c>
      <c r="P22" t="str">
        <f>IF(OR($P$4="Aufwand",$P$4="Lohnaufwand"),"",IF($A22&gt;0,"F"&amp;$A22&amp;"_"&amp;$P$5,IF($B22&gt;0,"F"&amp;$B22&amp;"_"&amp;$P$5,"F"&amp;$C22&amp;"_"&amp;$P$5)))</f>
        <v/>
      </c>
    </row>
    <row r="23" spans="1:16" x14ac:dyDescent="0.3">
      <c r="B23">
        <v>4120</v>
      </c>
      <c r="D23" t="s">
        <v>355</v>
      </c>
      <c r="E23" t="s">
        <v>356</v>
      </c>
      <c r="J23" s="4" t="str">
        <f>VLOOKUP("BA",Hilfstabelle!C2:D451,2,FALSE)&amp;"+"&amp;VLOOKUP("Kalk. Lohnansatz",Hilfstabelle!C2:D451,2,FALSE)</f>
        <v>F4100+F4710</v>
      </c>
      <c r="L23" t="s">
        <v>20</v>
      </c>
      <c r="M23" t="str">
        <f t="shared" si="4"/>
        <v/>
      </c>
      <c r="N23" t="str">
        <f t="shared" si="1"/>
        <v/>
      </c>
      <c r="O23" t="str">
        <f t="shared" si="2"/>
        <v/>
      </c>
      <c r="P23" t="str">
        <f t="shared" ref="P23:P76" si="5">IF(OR($P$4="Aufwand",$P$4="Lohnaufwand"),"",IF($A23&gt;0,"F"&amp;$A23&amp;"_"&amp;$P$5,IF($B23&gt;0,"F"&amp;$B23&amp;"_"&amp;$P$5,"F"&amp;$C23&amp;"_"&amp;$P$5)))</f>
        <v/>
      </c>
    </row>
    <row r="24" spans="1:16" x14ac:dyDescent="0.3">
      <c r="B24">
        <v>4130</v>
      </c>
      <c r="D24" t="s">
        <v>360</v>
      </c>
      <c r="E24" t="s">
        <v>361</v>
      </c>
      <c r="J24" s="4" t="str">
        <f>VLOOKUP("Unterhaltungsaufwand o Kfz",Hilfstabelle!C2:D451,2,FALSE)&amp;"+"&amp;VLOOKUP("Unterhaltung Fuhrpark",Hilfstabelle!C2:D451,2,FALSE)&amp;"+"&amp;VLOOKUP("Vermarktungsaufwand",Hilfstabelle!C2:D451,2,FALSE)&amp;"+"&amp;VLOOKUP("sonst. Allgemeiner Aufwand",Hilfstabelle!C2:D451,2,FALSE)&amp;"+i442+i453+i454+i455+i457"</f>
        <v>F4511+F4520+F4530+F4610+i442+i453+i454+i455+i457</v>
      </c>
      <c r="L24" t="s">
        <v>20</v>
      </c>
      <c r="M24" t="str">
        <f t="shared" si="4"/>
        <v/>
      </c>
      <c r="N24" t="str">
        <f t="shared" si="1"/>
        <v/>
      </c>
      <c r="O24" t="str">
        <f t="shared" si="2"/>
        <v/>
      </c>
      <c r="P24" t="str">
        <f t="shared" si="5"/>
        <v/>
      </c>
    </row>
    <row r="25" spans="1:16" x14ac:dyDescent="0.3">
      <c r="C25">
        <v>4131</v>
      </c>
      <c r="D25" t="s">
        <v>1956</v>
      </c>
      <c r="E25" t="s">
        <v>1958</v>
      </c>
      <c r="J25" s="4" t="str">
        <f>VLOOKUP("sonst. betr. Aufwendungen_N",Hilfstabelle!C2:D451,2,FALSE)&amp;"-"&amp;VLOOKUP("AFA",Hilfstabelle!C2:D451,2,FALSE)</f>
        <v>F4130-F4625</v>
      </c>
      <c r="L25" t="s">
        <v>20</v>
      </c>
    </row>
    <row r="26" spans="1:16" x14ac:dyDescent="0.3">
      <c r="B26">
        <v>4140</v>
      </c>
      <c r="D26" t="s">
        <v>362</v>
      </c>
      <c r="E26" t="s">
        <v>363</v>
      </c>
      <c r="J26" s="4" t="str">
        <f>VLOOKUP("SpezialA Eigenproduktion",Hilfstabelle!C2:D451,2,FALSE)&amp;"+"&amp;VLOOKUP("SpezialA Handel/Dienstl",Hilfstabelle!C2:D451,2,FALSE)&amp;"-i420"</f>
        <v>F4310+F4340-i420</v>
      </c>
      <c r="L26" t="s">
        <v>20</v>
      </c>
      <c r="M26" t="str">
        <f t="shared" si="4"/>
        <v/>
      </c>
      <c r="N26" t="str">
        <f t="shared" si="1"/>
        <v/>
      </c>
      <c r="O26" t="str">
        <f t="shared" si="2"/>
        <v/>
      </c>
      <c r="P26" t="str">
        <f t="shared" si="5"/>
        <v/>
      </c>
    </row>
    <row r="27" spans="1:16" x14ac:dyDescent="0.3">
      <c r="J27" s="4"/>
    </row>
    <row r="28" spans="1:16" x14ac:dyDescent="0.3">
      <c r="A28">
        <v>4200</v>
      </c>
      <c r="D28" t="s">
        <v>365</v>
      </c>
      <c r="E28" t="s">
        <v>365</v>
      </c>
      <c r="J28" s="4" t="str">
        <f>VLOOKUP("BErtrag",Hilfstabelle!C2:D451,2,FALSE)&amp;"-"&amp;VLOOKUP("BEinkommen",Hilfstabelle!C2:D451,2,FALSE)</f>
        <v>F3100-F9320</v>
      </c>
      <c r="L28" t="s">
        <v>20</v>
      </c>
      <c r="M28" t="str">
        <f t="shared" si="4"/>
        <v/>
      </c>
      <c r="N28" t="str">
        <f t="shared" si="1"/>
        <v/>
      </c>
      <c r="O28" t="str">
        <f t="shared" si="2"/>
        <v/>
      </c>
      <c r="P28" t="str">
        <f t="shared" si="5"/>
        <v/>
      </c>
    </row>
    <row r="29" spans="1:16" x14ac:dyDescent="0.3">
      <c r="B29">
        <v>4210</v>
      </c>
      <c r="D29" t="s">
        <v>366</v>
      </c>
      <c r="E29" t="s">
        <v>367</v>
      </c>
      <c r="J29" s="4" t="str">
        <f>VLOOKUP("BErtrag",Hilfstabelle!C2:D451,2,FALSE)&amp;"-"&amp;VLOOKUP("BEinkommen",Hilfstabelle!C2:D451,2,FALSE)&amp;"-"&amp;VLOOKUP("Vorleistungen",Hilfstabelle!C2:D451,2,FALSE)</f>
        <v>F3100-F9320-F4312</v>
      </c>
      <c r="L29" t="s">
        <v>20</v>
      </c>
      <c r="M29" t="str">
        <f t="shared" si="4"/>
        <v/>
      </c>
      <c r="N29" t="str">
        <f t="shared" si="1"/>
        <v/>
      </c>
      <c r="O29" t="str">
        <f t="shared" si="2"/>
        <v/>
      </c>
      <c r="P29" t="str">
        <f t="shared" si="5"/>
        <v/>
      </c>
    </row>
    <row r="30" spans="1:16" x14ac:dyDescent="0.3">
      <c r="J30" s="4"/>
    </row>
    <row r="31" spans="1:16" x14ac:dyDescent="0.3">
      <c r="A31">
        <v>4300</v>
      </c>
      <c r="D31" t="s">
        <v>368</v>
      </c>
      <c r="E31" t="s">
        <v>369</v>
      </c>
      <c r="F31" t="s">
        <v>364</v>
      </c>
      <c r="J31" s="4" t="str">
        <f>VLOOKUP("SpezialA Eigenproduktion",Hilfstabelle!C2:D451,2,FALSE)&amp;"+"&amp;VLOOKUP("SpezialA Handel/Dienstl",Hilfstabelle!C2:D451,2,FALSE)</f>
        <v>F4310+F4340</v>
      </c>
      <c r="L31" t="s">
        <v>20</v>
      </c>
      <c r="M31" t="str">
        <f t="shared" si="4"/>
        <v/>
      </c>
      <c r="N31" t="str">
        <f t="shared" si="1"/>
        <v/>
      </c>
      <c r="O31" t="str">
        <f t="shared" si="2"/>
        <v/>
      </c>
      <c r="P31" t="str">
        <f t="shared" si="5"/>
        <v/>
      </c>
    </row>
    <row r="32" spans="1:16" x14ac:dyDescent="0.3">
      <c r="J32" s="4"/>
    </row>
    <row r="33" spans="2:16" x14ac:dyDescent="0.3">
      <c r="B33">
        <v>4310</v>
      </c>
      <c r="D33" t="s">
        <v>370</v>
      </c>
      <c r="E33" t="s">
        <v>371</v>
      </c>
      <c r="J33" s="4" t="s">
        <v>372</v>
      </c>
      <c r="L33" t="s">
        <v>20</v>
      </c>
      <c r="M33" t="str">
        <f>IF(OR($M$4="Arbeitskräfte",$M$4="Arbeitskräfte Dienstleistung",$M$4="Arbeitskräfte Direktabsatz"),"",IF($A33&gt;0,"F"&amp;$A33&amp;"_"&amp;$M$5,IF($B33&gt;0,"F"&amp;$B33&amp;"_"&amp;$M$5,"F"&amp;$C33&amp;"_"&amp;$M$5)))</f>
        <v/>
      </c>
      <c r="N33" t="str">
        <f t="shared" si="1"/>
        <v/>
      </c>
      <c r="O33" t="str">
        <f t="shared" si="2"/>
        <v/>
      </c>
      <c r="P33" t="str">
        <f t="shared" si="5"/>
        <v/>
      </c>
    </row>
    <row r="34" spans="2:16" x14ac:dyDescent="0.3">
      <c r="C34">
        <v>4311</v>
      </c>
      <c r="D34" t="s">
        <v>373</v>
      </c>
      <c r="E34" t="s">
        <v>374</v>
      </c>
      <c r="J34" s="4" t="s">
        <v>375</v>
      </c>
      <c r="M34" t="str">
        <f t="shared" ref="M34:M55" si="6">IF(OR($M$4="Arbeitskräfte",$M$4="Arbeitskräfte Dienstleistung",$M$4="Arbeitskräfte Direktabsatz"),"",IF($A34&gt;0,"F"&amp;$A34&amp;"_"&amp;$M$5,IF($B34&gt;0,"F"&amp;$B34&amp;"_"&amp;$M$5,"F"&amp;$C34&amp;"_"&amp;$M$5)))</f>
        <v/>
      </c>
      <c r="N34" t="str">
        <f t="shared" si="1"/>
        <v/>
      </c>
      <c r="O34" t="str">
        <f t="shared" si="2"/>
        <v/>
      </c>
      <c r="P34" t="str">
        <f t="shared" si="5"/>
        <v/>
      </c>
    </row>
    <row r="35" spans="2:16" x14ac:dyDescent="0.3">
      <c r="C35">
        <v>4312</v>
      </c>
      <c r="D35" t="s">
        <v>376</v>
      </c>
      <c r="E35" t="s">
        <v>377</v>
      </c>
      <c r="J35" s="4" t="str">
        <f>"i401+i402+i414+"&amp;VLOOKUP("SpezialA Handel/Dienstl",Hilfstabelle!C2:D451,2,FALSE)&amp;"+i444"</f>
        <v>i401+i402+i414+F4340+i444</v>
      </c>
      <c r="L35" t="s">
        <v>20</v>
      </c>
      <c r="M35" t="str">
        <f t="shared" si="6"/>
        <v/>
      </c>
      <c r="N35" t="str">
        <f t="shared" si="1"/>
        <v/>
      </c>
      <c r="O35" t="str">
        <f t="shared" si="2"/>
        <v/>
      </c>
      <c r="P35" t="str">
        <f t="shared" si="5"/>
        <v/>
      </c>
    </row>
    <row r="36" spans="2:16" x14ac:dyDescent="0.3">
      <c r="C36">
        <v>4313</v>
      </c>
      <c r="D36" t="s">
        <v>378</v>
      </c>
      <c r="E36" t="s">
        <v>379</v>
      </c>
      <c r="G36" t="s">
        <v>380</v>
      </c>
      <c r="J36" s="4" t="s">
        <v>381</v>
      </c>
      <c r="L36" t="s">
        <v>20</v>
      </c>
      <c r="M36" t="str">
        <f t="shared" si="6"/>
        <v/>
      </c>
      <c r="N36" t="str">
        <f t="shared" si="1"/>
        <v/>
      </c>
      <c r="O36" t="str">
        <f t="shared" si="2"/>
        <v/>
      </c>
      <c r="P36" t="str">
        <f t="shared" si="5"/>
        <v/>
      </c>
    </row>
    <row r="37" spans="2:16" x14ac:dyDescent="0.3">
      <c r="C37">
        <v>4314</v>
      </c>
      <c r="D37" t="s">
        <v>382</v>
      </c>
      <c r="E37" t="s">
        <v>383</v>
      </c>
      <c r="F37" t="s">
        <v>382</v>
      </c>
      <c r="J37" s="4" t="s">
        <v>384</v>
      </c>
      <c r="L37" t="s">
        <v>20</v>
      </c>
      <c r="M37" t="str">
        <f t="shared" si="6"/>
        <v/>
      </c>
      <c r="N37" t="str">
        <f t="shared" si="1"/>
        <v/>
      </c>
      <c r="O37" t="str">
        <f t="shared" si="2"/>
        <v/>
      </c>
      <c r="P37" t="str">
        <f t="shared" si="5"/>
        <v/>
      </c>
    </row>
    <row r="38" spans="2:16" x14ac:dyDescent="0.3">
      <c r="C38">
        <v>4315</v>
      </c>
      <c r="D38" t="s">
        <v>1982</v>
      </c>
      <c r="E38" t="s">
        <v>385</v>
      </c>
      <c r="J38" s="4" t="s">
        <v>386</v>
      </c>
      <c r="L38" t="s">
        <v>20</v>
      </c>
      <c r="M38" t="str">
        <f t="shared" si="6"/>
        <v/>
      </c>
      <c r="N38" t="str">
        <f t="shared" si="1"/>
        <v/>
      </c>
      <c r="O38" t="str">
        <f t="shared" si="2"/>
        <v/>
      </c>
      <c r="P38" t="str">
        <f t="shared" si="5"/>
        <v/>
      </c>
    </row>
    <row r="39" spans="2:16" x14ac:dyDescent="0.3">
      <c r="C39">
        <v>4316</v>
      </c>
      <c r="D39" t="s">
        <v>387</v>
      </c>
      <c r="E39" t="s">
        <v>388</v>
      </c>
      <c r="J39" s="4" t="s">
        <v>389</v>
      </c>
      <c r="L39" t="s">
        <v>20</v>
      </c>
      <c r="M39" t="str">
        <f t="shared" si="6"/>
        <v/>
      </c>
      <c r="N39" t="str">
        <f t="shared" si="1"/>
        <v/>
      </c>
      <c r="O39" t="str">
        <f t="shared" si="2"/>
        <v/>
      </c>
      <c r="P39" t="str">
        <f t="shared" si="5"/>
        <v/>
      </c>
    </row>
    <row r="40" spans="2:16" x14ac:dyDescent="0.3">
      <c r="C40">
        <v>4317</v>
      </c>
      <c r="D40" t="s">
        <v>390</v>
      </c>
      <c r="E40" t="s">
        <v>390</v>
      </c>
      <c r="J40" s="4" t="s">
        <v>391</v>
      </c>
      <c r="L40" t="s">
        <v>20</v>
      </c>
      <c r="M40" t="str">
        <f t="shared" si="6"/>
        <v/>
      </c>
      <c r="N40" t="str">
        <f t="shared" si="1"/>
        <v/>
      </c>
      <c r="O40" t="str">
        <f t="shared" si="2"/>
        <v/>
      </c>
      <c r="P40" t="str">
        <f t="shared" si="5"/>
        <v/>
      </c>
    </row>
    <row r="41" spans="2:16" x14ac:dyDescent="0.3">
      <c r="C41">
        <v>4318</v>
      </c>
      <c r="D41" t="s">
        <v>392</v>
      </c>
      <c r="E41" t="s">
        <v>393</v>
      </c>
      <c r="I41">
        <v>401</v>
      </c>
      <c r="J41" s="4"/>
      <c r="L41" t="s">
        <v>20</v>
      </c>
      <c r="M41" t="str">
        <f t="shared" si="6"/>
        <v/>
      </c>
      <c r="N41" t="str">
        <f t="shared" si="1"/>
        <v/>
      </c>
      <c r="O41" t="str">
        <f t="shared" si="2"/>
        <v/>
      </c>
      <c r="P41" t="str">
        <f t="shared" si="5"/>
        <v/>
      </c>
    </row>
    <row r="42" spans="2:16" x14ac:dyDescent="0.3">
      <c r="C42">
        <v>4319</v>
      </c>
      <c r="D42" t="s">
        <v>394</v>
      </c>
      <c r="E42" t="s">
        <v>394</v>
      </c>
      <c r="I42">
        <v>402</v>
      </c>
      <c r="J42" s="4"/>
      <c r="L42" t="s">
        <v>20</v>
      </c>
      <c r="M42" t="str">
        <f t="shared" si="6"/>
        <v/>
      </c>
      <c r="N42" t="str">
        <f t="shared" si="1"/>
        <v/>
      </c>
      <c r="O42" t="str">
        <f t="shared" si="2"/>
        <v/>
      </c>
      <c r="P42" t="str">
        <f t="shared" si="5"/>
        <v/>
      </c>
    </row>
    <row r="43" spans="2:16" x14ac:dyDescent="0.3">
      <c r="C43">
        <v>4320</v>
      </c>
      <c r="D43" t="s">
        <v>395</v>
      </c>
      <c r="I43">
        <v>403</v>
      </c>
      <c r="J43" s="4"/>
      <c r="L43" t="s">
        <v>20</v>
      </c>
      <c r="M43" t="str">
        <f t="shared" si="6"/>
        <v/>
      </c>
      <c r="N43" t="str">
        <f t="shared" si="1"/>
        <v/>
      </c>
      <c r="O43" t="str">
        <f t="shared" si="2"/>
        <v/>
      </c>
      <c r="P43" t="str">
        <f t="shared" si="5"/>
        <v/>
      </c>
    </row>
    <row r="44" spans="2:16" x14ac:dyDescent="0.3">
      <c r="C44">
        <v>4321</v>
      </c>
      <c r="D44" t="s">
        <v>396</v>
      </c>
      <c r="I44">
        <v>404</v>
      </c>
      <c r="J44" s="4"/>
      <c r="L44" t="s">
        <v>20</v>
      </c>
      <c r="M44" t="str">
        <f t="shared" si="6"/>
        <v/>
      </c>
      <c r="N44" t="str">
        <f t="shared" si="1"/>
        <v/>
      </c>
      <c r="O44" t="str">
        <f t="shared" si="2"/>
        <v/>
      </c>
      <c r="P44" t="str">
        <f t="shared" si="5"/>
        <v/>
      </c>
    </row>
    <row r="45" spans="2:16" x14ac:dyDescent="0.3">
      <c r="C45">
        <v>4322</v>
      </c>
      <c r="D45" t="s">
        <v>397</v>
      </c>
      <c r="I45">
        <v>405</v>
      </c>
      <c r="J45" s="4"/>
      <c r="L45" t="s">
        <v>20</v>
      </c>
      <c r="M45" t="str">
        <f t="shared" si="6"/>
        <v/>
      </c>
      <c r="N45" t="str">
        <f t="shared" si="1"/>
        <v/>
      </c>
      <c r="O45" t="str">
        <f t="shared" si="2"/>
        <v/>
      </c>
      <c r="P45" t="str">
        <f t="shared" si="5"/>
        <v/>
      </c>
    </row>
    <row r="46" spans="2:16" x14ac:dyDescent="0.3">
      <c r="C46">
        <v>4323</v>
      </c>
      <c r="D46" t="s">
        <v>398</v>
      </c>
      <c r="I46">
        <v>406</v>
      </c>
      <c r="J46" s="4"/>
      <c r="L46" t="s">
        <v>20</v>
      </c>
      <c r="M46" t="str">
        <f t="shared" si="6"/>
        <v/>
      </c>
      <c r="N46" t="str">
        <f t="shared" si="1"/>
        <v/>
      </c>
      <c r="O46" t="str">
        <f t="shared" si="2"/>
        <v/>
      </c>
      <c r="P46" t="str">
        <f t="shared" si="5"/>
        <v/>
      </c>
    </row>
    <row r="47" spans="2:16" x14ac:dyDescent="0.3">
      <c r="C47">
        <v>4324</v>
      </c>
      <c r="D47" t="s">
        <v>382</v>
      </c>
      <c r="I47">
        <v>407</v>
      </c>
      <c r="J47" s="4"/>
      <c r="L47" t="s">
        <v>20</v>
      </c>
      <c r="M47" t="str">
        <f t="shared" si="6"/>
        <v/>
      </c>
      <c r="N47" t="str">
        <f t="shared" si="1"/>
        <v/>
      </c>
      <c r="O47" t="str">
        <f t="shared" si="2"/>
        <v/>
      </c>
      <c r="P47" t="str">
        <f t="shared" si="5"/>
        <v/>
      </c>
    </row>
    <row r="48" spans="2:16" x14ac:dyDescent="0.3">
      <c r="C48">
        <v>4325</v>
      </c>
      <c r="D48" t="s">
        <v>399</v>
      </c>
      <c r="E48" t="s">
        <v>399</v>
      </c>
      <c r="I48">
        <v>408</v>
      </c>
      <c r="J48" s="4"/>
      <c r="L48" t="s">
        <v>20</v>
      </c>
      <c r="M48" t="str">
        <f t="shared" si="6"/>
        <v/>
      </c>
      <c r="N48" t="str">
        <f t="shared" si="1"/>
        <v/>
      </c>
      <c r="O48" t="str">
        <f t="shared" si="2"/>
        <v/>
      </c>
      <c r="P48" t="str">
        <f t="shared" si="5"/>
        <v/>
      </c>
    </row>
    <row r="49" spans="2:16" x14ac:dyDescent="0.3">
      <c r="C49">
        <v>4326</v>
      </c>
      <c r="D49" t="s">
        <v>400</v>
      </c>
      <c r="E49" t="s">
        <v>400</v>
      </c>
      <c r="I49">
        <v>409</v>
      </c>
      <c r="J49" s="4"/>
      <c r="L49" t="s">
        <v>20</v>
      </c>
      <c r="M49" t="str">
        <f t="shared" si="6"/>
        <v/>
      </c>
      <c r="N49" t="str">
        <f t="shared" si="1"/>
        <v/>
      </c>
      <c r="O49" t="str">
        <f t="shared" si="2"/>
        <v/>
      </c>
      <c r="P49" t="str">
        <f t="shared" si="5"/>
        <v/>
      </c>
    </row>
    <row r="50" spans="2:16" x14ac:dyDescent="0.3">
      <c r="C50">
        <v>4327</v>
      </c>
      <c r="D50" s="6" t="s">
        <v>401</v>
      </c>
      <c r="E50" s="6" t="s">
        <v>402</v>
      </c>
      <c r="I50">
        <v>410</v>
      </c>
      <c r="J50" s="4" t="s">
        <v>403</v>
      </c>
      <c r="L50" t="s">
        <v>20</v>
      </c>
      <c r="M50" t="str">
        <f t="shared" si="6"/>
        <v/>
      </c>
      <c r="N50" t="str">
        <f t="shared" si="1"/>
        <v/>
      </c>
      <c r="O50" t="str">
        <f t="shared" si="2"/>
        <v/>
      </c>
      <c r="P50" t="str">
        <f t="shared" si="5"/>
        <v/>
      </c>
    </row>
    <row r="51" spans="2:16" x14ac:dyDescent="0.3">
      <c r="C51">
        <v>4328</v>
      </c>
      <c r="D51" t="s">
        <v>404</v>
      </c>
      <c r="E51" t="s">
        <v>405</v>
      </c>
      <c r="I51">
        <v>411</v>
      </c>
      <c r="J51" s="4"/>
      <c r="L51" t="s">
        <v>20</v>
      </c>
      <c r="M51" t="str">
        <f t="shared" si="6"/>
        <v/>
      </c>
      <c r="N51" t="str">
        <f t="shared" si="1"/>
        <v/>
      </c>
      <c r="O51" t="str">
        <f t="shared" si="2"/>
        <v/>
      </c>
      <c r="P51" t="str">
        <f t="shared" si="5"/>
        <v/>
      </c>
    </row>
    <row r="52" spans="2:16" x14ac:dyDescent="0.3">
      <c r="C52">
        <v>4329</v>
      </c>
      <c r="D52" t="s">
        <v>406</v>
      </c>
      <c r="E52" t="s">
        <v>406</v>
      </c>
      <c r="I52">
        <v>426</v>
      </c>
      <c r="J52" s="4"/>
      <c r="L52" t="s">
        <v>20</v>
      </c>
      <c r="M52" t="str">
        <f t="shared" si="6"/>
        <v/>
      </c>
      <c r="N52" t="str">
        <f t="shared" si="1"/>
        <v/>
      </c>
      <c r="O52" t="str">
        <f t="shared" si="2"/>
        <v/>
      </c>
      <c r="P52" t="str">
        <f t="shared" si="5"/>
        <v/>
      </c>
    </row>
    <row r="53" spans="2:16" x14ac:dyDescent="0.3">
      <c r="C53">
        <v>4330</v>
      </c>
      <c r="D53" t="s">
        <v>407</v>
      </c>
      <c r="I53">
        <v>412</v>
      </c>
      <c r="J53" s="4"/>
      <c r="L53" t="s">
        <v>20</v>
      </c>
      <c r="M53" t="str">
        <f t="shared" si="6"/>
        <v/>
      </c>
      <c r="N53" t="str">
        <f t="shared" si="1"/>
        <v/>
      </c>
      <c r="O53" t="str">
        <f t="shared" si="2"/>
        <v/>
      </c>
      <c r="P53" t="str">
        <f t="shared" si="5"/>
        <v/>
      </c>
    </row>
    <row r="54" spans="2:16" x14ac:dyDescent="0.3">
      <c r="C54">
        <v>4331</v>
      </c>
      <c r="D54" t="s">
        <v>409</v>
      </c>
      <c r="I54">
        <v>413</v>
      </c>
      <c r="J54" s="4"/>
      <c r="L54" t="s">
        <v>20</v>
      </c>
      <c r="M54" t="str">
        <f t="shared" si="6"/>
        <v/>
      </c>
      <c r="N54" t="str">
        <f t="shared" si="1"/>
        <v/>
      </c>
      <c r="O54" t="str">
        <f t="shared" si="2"/>
        <v/>
      </c>
      <c r="P54" t="str">
        <f t="shared" si="5"/>
        <v/>
      </c>
    </row>
    <row r="55" spans="2:16" x14ac:dyDescent="0.3">
      <c r="C55">
        <v>4332</v>
      </c>
      <c r="D55" t="s">
        <v>410</v>
      </c>
      <c r="I55">
        <v>414</v>
      </c>
      <c r="J55" s="4"/>
      <c r="L55" t="s">
        <v>20</v>
      </c>
      <c r="M55" t="str">
        <f t="shared" si="6"/>
        <v/>
      </c>
      <c r="N55" t="str">
        <f t="shared" si="1"/>
        <v/>
      </c>
      <c r="O55" t="str">
        <f t="shared" si="2"/>
        <v/>
      </c>
      <c r="P55" t="str">
        <f t="shared" si="5"/>
        <v/>
      </c>
    </row>
    <row r="56" spans="2:16" x14ac:dyDescent="0.3">
      <c r="J56" s="4"/>
    </row>
    <row r="57" spans="2:16" x14ac:dyDescent="0.3">
      <c r="B57">
        <v>4340</v>
      </c>
      <c r="D57" t="s">
        <v>412</v>
      </c>
      <c r="E57" t="s">
        <v>413</v>
      </c>
      <c r="J57" s="4" t="s">
        <v>414</v>
      </c>
      <c r="L57" t="s">
        <v>20</v>
      </c>
      <c r="M57" t="str">
        <f>IF(OR($M$4="Arbeitskräfte",$M$4="Arbeitskräfte Eigenproduktion"),"",IF($A57&gt;0,"F"&amp;$A57&amp;"_"&amp;$M$5,IF($B57&gt;0,"F"&amp;$B57&amp;"_"&amp;$M$5,"F"&amp;$C57&amp;"_"&amp;$M$5)))</f>
        <v/>
      </c>
      <c r="N57" t="str">
        <f t="shared" si="1"/>
        <v/>
      </c>
      <c r="O57" t="str">
        <f t="shared" si="2"/>
        <v/>
      </c>
      <c r="P57" t="str">
        <f t="shared" si="5"/>
        <v/>
      </c>
    </row>
    <row r="58" spans="2:16" x14ac:dyDescent="0.3">
      <c r="B58">
        <v>4350</v>
      </c>
      <c r="D58" t="s">
        <v>415</v>
      </c>
      <c r="E58" t="s">
        <v>416</v>
      </c>
      <c r="J58" s="4" t="str">
        <f>VLOOKUP("SpezialA Eigenproduktion",Hilfstabelle!C2:D451,2,FALSE)&amp;"+"&amp;VLOOKUP("SpezialA Handel",Hilfstabelle!C2:D451,2,FALSE)</f>
        <v>F4310+F4360</v>
      </c>
      <c r="L58" t="s">
        <v>20</v>
      </c>
      <c r="M58" t="str">
        <f>IF(OR($M$4="Arbeitskräfte",$M$4="Arbeitskräfte Eigenproduktion"),"",IF($A58&gt;0,"F"&amp;$A58&amp;"_"&amp;$M$5,IF($B58&gt;0,"F"&amp;$B58&amp;"_"&amp;$M$5,"F"&amp;$C58&amp;"_"&amp;$M$5)))</f>
        <v/>
      </c>
      <c r="N58" t="str">
        <f t="shared" si="1"/>
        <v/>
      </c>
      <c r="O58" t="str">
        <f t="shared" si="2"/>
        <v/>
      </c>
      <c r="P58" t="str">
        <f t="shared" si="5"/>
        <v/>
      </c>
    </row>
    <row r="59" spans="2:16" x14ac:dyDescent="0.3">
      <c r="J59" s="4"/>
    </row>
    <row r="60" spans="2:16" x14ac:dyDescent="0.3">
      <c r="B60">
        <v>4360</v>
      </c>
      <c r="D60" t="s">
        <v>417</v>
      </c>
      <c r="E60" t="s">
        <v>418</v>
      </c>
      <c r="F60" t="s">
        <v>419</v>
      </c>
      <c r="J60" s="4" t="s">
        <v>420</v>
      </c>
      <c r="L60" t="s">
        <v>20</v>
      </c>
      <c r="M60" t="str">
        <f>IF(OR($M$4="Arbeitskräfte",$M$4="Arbeitskräfte Eigenproduktion",$M$4="Arbeitskräfte Dienstleistung"),"",IF($A60&gt;0,"F"&amp;$A60&amp;"_"&amp;$M$5,IF($B60&gt;0,"F"&amp;$B60&amp;"_"&amp;$M$5,"F"&amp;$C60&amp;"_"&amp;$M$5)))</f>
        <v/>
      </c>
      <c r="N60" t="str">
        <f t="shared" si="1"/>
        <v/>
      </c>
      <c r="O60" t="str">
        <f t="shared" si="2"/>
        <v/>
      </c>
      <c r="P60" t="str">
        <f t="shared" si="5"/>
        <v/>
      </c>
    </row>
    <row r="61" spans="2:16" x14ac:dyDescent="0.3">
      <c r="C61">
        <v>4361</v>
      </c>
      <c r="D61" t="s">
        <v>421</v>
      </c>
      <c r="I61">
        <v>415</v>
      </c>
      <c r="J61" s="4"/>
      <c r="L61" t="s">
        <v>20</v>
      </c>
      <c r="M61" t="str">
        <f t="shared" ref="M61:M64" si="7">IF(OR($M$4="Arbeitskräfte",$M$4="Arbeitskräfte Eigenproduktion",$M$4="Arbeitskräfte Dienstleistung"),"",IF($A61&gt;0,"F"&amp;$A61&amp;"_"&amp;$M$5,IF($B61&gt;0,"F"&amp;$B61&amp;"_"&amp;$M$5,"F"&amp;$C61&amp;"_"&amp;$M$5)))</f>
        <v/>
      </c>
      <c r="N61" t="str">
        <f t="shared" si="1"/>
        <v/>
      </c>
      <c r="O61" t="str">
        <f t="shared" si="2"/>
        <v/>
      </c>
      <c r="P61" t="str">
        <f t="shared" si="5"/>
        <v/>
      </c>
    </row>
    <row r="62" spans="2:16" x14ac:dyDescent="0.3">
      <c r="C62">
        <v>4362</v>
      </c>
      <c r="D62" t="s">
        <v>422</v>
      </c>
      <c r="I62">
        <v>416</v>
      </c>
      <c r="J62" s="4"/>
      <c r="L62" t="s">
        <v>20</v>
      </c>
      <c r="M62" t="str">
        <f t="shared" si="7"/>
        <v/>
      </c>
      <c r="N62" t="str">
        <f t="shared" si="1"/>
        <v/>
      </c>
      <c r="O62" t="str">
        <f t="shared" si="2"/>
        <v/>
      </c>
      <c r="P62" t="str">
        <f t="shared" si="5"/>
        <v/>
      </c>
    </row>
    <row r="63" spans="2:16" x14ac:dyDescent="0.3">
      <c r="C63">
        <v>4363</v>
      </c>
      <c r="D63" t="s">
        <v>423</v>
      </c>
      <c r="I63">
        <v>417</v>
      </c>
      <c r="J63" s="4"/>
      <c r="L63" t="s">
        <v>20</v>
      </c>
      <c r="M63" t="str">
        <f t="shared" si="7"/>
        <v/>
      </c>
      <c r="N63" t="str">
        <f t="shared" si="1"/>
        <v/>
      </c>
      <c r="O63" t="str">
        <f t="shared" si="2"/>
        <v/>
      </c>
      <c r="P63" t="str">
        <f t="shared" si="5"/>
        <v/>
      </c>
    </row>
    <row r="64" spans="2:16" x14ac:dyDescent="0.3">
      <c r="C64">
        <v>4364</v>
      </c>
      <c r="D64" t="s">
        <v>2073</v>
      </c>
      <c r="J64" s="4" t="s">
        <v>2074</v>
      </c>
      <c r="L64" t="s">
        <v>20</v>
      </c>
      <c r="M64" t="str">
        <f t="shared" si="7"/>
        <v/>
      </c>
      <c r="N64" t="str">
        <f t="shared" si="1"/>
        <v/>
      </c>
      <c r="O64" t="str">
        <f t="shared" si="2"/>
        <v/>
      </c>
      <c r="P64" t="str">
        <f t="shared" si="5"/>
        <v/>
      </c>
    </row>
    <row r="65" spans="1:16" x14ac:dyDescent="0.3">
      <c r="J65" s="4"/>
    </row>
    <row r="66" spans="1:16" x14ac:dyDescent="0.3">
      <c r="B66">
        <v>4370</v>
      </c>
      <c r="D66" t="s">
        <v>424</v>
      </c>
      <c r="E66" t="s">
        <v>425</v>
      </c>
      <c r="J66" s="4" t="s">
        <v>426</v>
      </c>
      <c r="L66" t="s">
        <v>20</v>
      </c>
      <c r="M66" t="str">
        <f>IF(OR($M$4="Arbeitskräfte",$M$4="Arbeitskräfte Eigenproduktion",$M$4="Arbeitskräfte Handel"),"",IF($A66&gt;0,"F"&amp;$A66&amp;"_"&amp;$M$5,IF($B66&gt;0,"F"&amp;$B66&amp;"_"&amp;$M$5,"F"&amp;$C66&amp;"_"&amp;$M$5)))</f>
        <v/>
      </c>
      <c r="N66" t="str">
        <f t="shared" si="1"/>
        <v/>
      </c>
      <c r="O66" t="str">
        <f t="shared" si="2"/>
        <v/>
      </c>
      <c r="P66" t="str">
        <f t="shared" si="5"/>
        <v/>
      </c>
    </row>
    <row r="67" spans="1:16" x14ac:dyDescent="0.3">
      <c r="C67">
        <v>4371</v>
      </c>
      <c r="D67" t="s">
        <v>427</v>
      </c>
      <c r="E67" t="s">
        <v>427</v>
      </c>
      <c r="J67" s="4" t="s">
        <v>428</v>
      </c>
      <c r="L67" t="s">
        <v>20</v>
      </c>
      <c r="M67" t="str">
        <f t="shared" ref="M67:M72" si="8">IF(OR($M$4="Arbeitskräfte",$M$4="Arbeitskräfte Eigenproduktion",$M$4="Arbeitskräfte Handel"),"",IF($A67&gt;0,"F"&amp;$A67&amp;"_"&amp;$M$5,IF($B67&gt;0,"F"&amp;$B67&amp;"_"&amp;$M$5,"F"&amp;$C67&amp;"_"&amp;$M$5)))</f>
        <v/>
      </c>
      <c r="N67" t="str">
        <f t="shared" si="1"/>
        <v/>
      </c>
      <c r="O67" t="str">
        <f t="shared" si="2"/>
        <v/>
      </c>
      <c r="P67" t="str">
        <f t="shared" si="5"/>
        <v/>
      </c>
    </row>
    <row r="68" spans="1:16" x14ac:dyDescent="0.3">
      <c r="C68">
        <v>4372</v>
      </c>
      <c r="D68" t="s">
        <v>429</v>
      </c>
      <c r="E68" t="s">
        <v>430</v>
      </c>
      <c r="J68" s="4" t="s">
        <v>431</v>
      </c>
      <c r="L68" t="s">
        <v>20</v>
      </c>
      <c r="M68" t="str">
        <f t="shared" si="8"/>
        <v/>
      </c>
      <c r="N68" t="str">
        <f t="shared" si="1"/>
        <v/>
      </c>
      <c r="O68" t="str">
        <f t="shared" si="2"/>
        <v/>
      </c>
      <c r="P68" t="str">
        <f t="shared" si="5"/>
        <v/>
      </c>
    </row>
    <row r="69" spans="1:16" x14ac:dyDescent="0.3">
      <c r="C69">
        <v>4373</v>
      </c>
      <c r="D69" t="s">
        <v>432</v>
      </c>
      <c r="E69" t="s">
        <v>432</v>
      </c>
      <c r="F69" t="s">
        <v>2101</v>
      </c>
      <c r="I69">
        <v>418</v>
      </c>
      <c r="J69" s="4"/>
      <c r="L69" t="s">
        <v>20</v>
      </c>
      <c r="M69" t="str">
        <f t="shared" si="8"/>
        <v/>
      </c>
      <c r="N69" t="str">
        <f t="shared" si="1"/>
        <v/>
      </c>
      <c r="O69" t="str">
        <f t="shared" si="2"/>
        <v/>
      </c>
      <c r="P69" t="str">
        <f t="shared" si="5"/>
        <v/>
      </c>
    </row>
    <row r="70" spans="1:16" x14ac:dyDescent="0.3">
      <c r="C70">
        <v>4374</v>
      </c>
      <c r="D70" t="s">
        <v>433</v>
      </c>
      <c r="E70" t="s">
        <v>433</v>
      </c>
      <c r="F70" t="s">
        <v>2102</v>
      </c>
      <c r="I70">
        <v>419</v>
      </c>
      <c r="J70" s="4"/>
      <c r="L70" t="s">
        <v>20</v>
      </c>
      <c r="M70" t="str">
        <f t="shared" si="8"/>
        <v/>
      </c>
      <c r="N70" t="str">
        <f t="shared" si="1"/>
        <v/>
      </c>
      <c r="O70" t="str">
        <f t="shared" si="2"/>
        <v/>
      </c>
      <c r="P70" t="str">
        <f t="shared" si="5"/>
        <v/>
      </c>
    </row>
    <row r="71" spans="1:16" x14ac:dyDescent="0.3">
      <c r="C71">
        <v>4375</v>
      </c>
      <c r="D71" t="s">
        <v>2103</v>
      </c>
      <c r="E71" t="s">
        <v>435</v>
      </c>
      <c r="F71" t="s">
        <v>1980</v>
      </c>
      <c r="I71">
        <v>420</v>
      </c>
      <c r="J71" s="4"/>
      <c r="L71" t="s">
        <v>20</v>
      </c>
      <c r="M71" t="str">
        <f t="shared" si="8"/>
        <v/>
      </c>
      <c r="N71" t="str">
        <f t="shared" si="1"/>
        <v/>
      </c>
      <c r="O71" t="str">
        <f t="shared" si="2"/>
        <v/>
      </c>
      <c r="P71" t="str">
        <f t="shared" si="5"/>
        <v/>
      </c>
    </row>
    <row r="72" spans="1:16" x14ac:dyDescent="0.3">
      <c r="C72">
        <v>4376</v>
      </c>
      <c r="D72" t="s">
        <v>436</v>
      </c>
      <c r="I72">
        <v>480</v>
      </c>
      <c r="J72" s="4"/>
      <c r="L72" t="s">
        <v>20</v>
      </c>
      <c r="M72" t="str">
        <f t="shared" si="8"/>
        <v/>
      </c>
      <c r="N72" t="str">
        <f t="shared" si="1"/>
        <v/>
      </c>
      <c r="O72" t="str">
        <f t="shared" si="2"/>
        <v/>
      </c>
      <c r="P72" t="str">
        <f t="shared" si="5"/>
        <v/>
      </c>
    </row>
    <row r="73" spans="1:16" x14ac:dyDescent="0.3">
      <c r="J73" s="4"/>
    </row>
    <row r="74" spans="1:16" x14ac:dyDescent="0.3">
      <c r="J74" s="4"/>
    </row>
    <row r="75" spans="1:16" x14ac:dyDescent="0.3">
      <c r="A75">
        <v>4400</v>
      </c>
      <c r="D75" t="s">
        <v>437</v>
      </c>
      <c r="E75" t="s">
        <v>437</v>
      </c>
      <c r="J75" s="4" t="s">
        <v>438</v>
      </c>
      <c r="L75" t="s">
        <v>20</v>
      </c>
      <c r="M75" t="str">
        <f>IF(OR($M$4="Arbeitskräfte",$M$4="Familien AK"),"",IF($A75&gt;0,"F"&amp;$A75&amp;"_"&amp;$M$5,IF($B75&gt;0,"F"&amp;$B75&amp;"_"&amp;$M$5,"F"&amp;$C75&amp;"_"&amp;$M$5)))</f>
        <v/>
      </c>
      <c r="N75" t="str">
        <f t="shared" ref="N75:N139" si="9">IF($N$4="Flächen","",IF($A75&gt;0,"F"&amp;$A75&amp;"_"&amp;$N$5,IF($B75&gt;0,"F"&amp;$B75&amp;"_"&amp;$N$5,"F"&amp;$C75&amp;"_"&amp;$N$5)))</f>
        <v/>
      </c>
      <c r="O75" t="str">
        <f t="shared" ref="O75:O139" si="10">IF($O$4="Ertrag","",IF($A75&gt;0,"F"&amp;$A75&amp;"_"&amp;$O$5,IF($B75&gt;0,"F"&amp;$B75&amp;"_"&amp;$O$5,"F"&amp;$C75&amp;"_"&amp;$O$5)))</f>
        <v/>
      </c>
      <c r="P75" t="str">
        <f t="shared" si="5"/>
        <v/>
      </c>
    </row>
    <row r="76" spans="1:16" x14ac:dyDescent="0.3">
      <c r="B76">
        <v>4410</v>
      </c>
      <c r="D76" t="s">
        <v>439</v>
      </c>
      <c r="E76" t="s">
        <v>440</v>
      </c>
      <c r="J76" s="4" t="s">
        <v>1921</v>
      </c>
      <c r="L76" t="s">
        <v>20</v>
      </c>
      <c r="M76" t="str">
        <f t="shared" si="4"/>
        <v/>
      </c>
      <c r="N76" t="str">
        <f t="shared" si="9"/>
        <v/>
      </c>
      <c r="O76" t="str">
        <f t="shared" si="10"/>
        <v/>
      </c>
      <c r="P76" t="str">
        <f t="shared" si="5"/>
        <v/>
      </c>
    </row>
    <row r="77" spans="1:16" x14ac:dyDescent="0.3">
      <c r="B77">
        <v>4420</v>
      </c>
      <c r="D77" t="s">
        <v>449</v>
      </c>
      <c r="E77" t="s">
        <v>450</v>
      </c>
      <c r="J77" s="4" t="s">
        <v>451</v>
      </c>
      <c r="L77" t="s">
        <v>20</v>
      </c>
      <c r="M77" t="str">
        <f t="shared" si="4"/>
        <v/>
      </c>
      <c r="N77" t="str">
        <f t="shared" si="9"/>
        <v/>
      </c>
      <c r="O77" t="str">
        <f t="shared" si="10"/>
        <v/>
      </c>
      <c r="P77" t="str">
        <f>IF(OR($P$4="Aufwand"),"",IF($A77&gt;0,"F"&amp;$A77&amp;"_"&amp;$P$5,IF($B77&gt;0,"F"&amp;$B77&amp;"_"&amp;$P$5,"F"&amp;$C77&amp;"_"&amp;$P$5)))</f>
        <v/>
      </c>
    </row>
    <row r="78" spans="1:16" x14ac:dyDescent="0.3">
      <c r="B78">
        <v>4430</v>
      </c>
      <c r="D78" t="s">
        <v>446</v>
      </c>
      <c r="E78" t="s">
        <v>447</v>
      </c>
      <c r="J78" s="4" t="s">
        <v>448</v>
      </c>
      <c r="L78" t="s">
        <v>20</v>
      </c>
      <c r="M78" t="str">
        <f t="shared" si="4"/>
        <v/>
      </c>
      <c r="N78" t="str">
        <f t="shared" si="9"/>
        <v/>
      </c>
      <c r="O78" t="str">
        <f t="shared" si="10"/>
        <v/>
      </c>
      <c r="P78" t="str">
        <f t="shared" ref="P78:P84" si="11">IF(OR($P$4="Aufwand"),"",IF($A78&gt;0,"F"&amp;$A78&amp;"_"&amp;$P$5,IF($B78&gt;0,"F"&amp;$B78&amp;"_"&amp;$P$5,"F"&amp;$C78&amp;"_"&amp;$P$5)))</f>
        <v/>
      </c>
    </row>
    <row r="79" spans="1:16" x14ac:dyDescent="0.3">
      <c r="B79">
        <v>4450</v>
      </c>
      <c r="D79" t="s">
        <v>441</v>
      </c>
      <c r="E79" t="s">
        <v>442</v>
      </c>
      <c r="J79" s="4" t="s">
        <v>443</v>
      </c>
      <c r="L79" t="s">
        <v>20</v>
      </c>
      <c r="N79" t="str">
        <f t="shared" si="9"/>
        <v/>
      </c>
      <c r="O79" t="str">
        <f t="shared" si="10"/>
        <v/>
      </c>
      <c r="P79" t="str">
        <f t="shared" si="11"/>
        <v/>
      </c>
    </row>
    <row r="80" spans="1:16" x14ac:dyDescent="0.3">
      <c r="B80">
        <v>4460</v>
      </c>
      <c r="D80" t="s">
        <v>444</v>
      </c>
      <c r="J80" s="4" t="s">
        <v>445</v>
      </c>
      <c r="L80" t="s">
        <v>20</v>
      </c>
      <c r="M80" t="str">
        <f>IF(OR($M$4="Arbeitskräfte",$M$4="Familien AK"),"",IF($A80&gt;0,"F"&amp;$A80&amp;"_"&amp;$M$5,IF($B80&gt;0,"F"&amp;$B80&amp;"_"&amp;$M$5,"F"&amp;$C80&amp;"_"&amp;$M$5)))</f>
        <v/>
      </c>
      <c r="N80" t="str">
        <f t="shared" si="9"/>
        <v/>
      </c>
      <c r="O80" t="str">
        <f t="shared" si="10"/>
        <v/>
      </c>
      <c r="P80" t="str">
        <f t="shared" si="11"/>
        <v/>
      </c>
    </row>
    <row r="81" spans="1:17" x14ac:dyDescent="0.3">
      <c r="B81">
        <v>4470</v>
      </c>
      <c r="D81" t="s">
        <v>452</v>
      </c>
      <c r="E81" t="s">
        <v>452</v>
      </c>
      <c r="J81" s="4" t="str">
        <f>VLOOKUP("Lohnaufwand",Hilfstabelle!C2:D451,2,FALSE)&amp;"+"&amp;VLOOKUP("Kalk. Lohnansatz",Hilfstabelle!C2:D451,2,FALSE)&amp;"+i433+i434+i435+i436+i444"</f>
        <v>F4400+F4710+i433+i434+i435+i436+i444</v>
      </c>
      <c r="M81" t="str">
        <f t="shared" si="4"/>
        <v/>
      </c>
      <c r="N81" t="str">
        <f t="shared" si="9"/>
        <v/>
      </c>
      <c r="O81" t="str">
        <f t="shared" si="10"/>
        <v/>
      </c>
      <c r="P81" t="str">
        <f t="shared" si="11"/>
        <v/>
      </c>
    </row>
    <row r="82" spans="1:17" x14ac:dyDescent="0.3">
      <c r="C82">
        <v>4471</v>
      </c>
      <c r="D82" t="s">
        <v>453</v>
      </c>
      <c r="I82">
        <v>422</v>
      </c>
      <c r="J82" s="4"/>
      <c r="L82" t="s">
        <v>20</v>
      </c>
      <c r="N82" t="str">
        <f t="shared" si="9"/>
        <v/>
      </c>
      <c r="O82" t="str">
        <f t="shared" si="10"/>
        <v/>
      </c>
      <c r="P82" t="str">
        <f t="shared" si="11"/>
        <v/>
      </c>
    </row>
    <row r="83" spans="1:17" x14ac:dyDescent="0.3">
      <c r="C83">
        <v>4472</v>
      </c>
      <c r="D83" t="s">
        <v>454</v>
      </c>
      <c r="I83">
        <v>424</v>
      </c>
      <c r="J83" s="4"/>
      <c r="L83" t="s">
        <v>20</v>
      </c>
      <c r="N83" t="str">
        <f t="shared" si="9"/>
        <v/>
      </c>
      <c r="O83" t="str">
        <f t="shared" si="10"/>
        <v/>
      </c>
      <c r="P83" t="str">
        <f t="shared" si="11"/>
        <v/>
      </c>
    </row>
    <row r="84" spans="1:17" x14ac:dyDescent="0.3">
      <c r="C84">
        <v>4473</v>
      </c>
      <c r="D84" t="s">
        <v>456</v>
      </c>
      <c r="I84">
        <v>423</v>
      </c>
      <c r="J84" s="4"/>
      <c r="L84" t="s">
        <v>20</v>
      </c>
      <c r="N84" t="str">
        <f t="shared" si="9"/>
        <v/>
      </c>
      <c r="O84" t="str">
        <f t="shared" si="10"/>
        <v/>
      </c>
      <c r="P84" t="str">
        <f t="shared" si="11"/>
        <v/>
      </c>
    </row>
    <row r="86" spans="1:17" x14ac:dyDescent="0.3">
      <c r="J86" s="4"/>
    </row>
    <row r="87" spans="1:17" x14ac:dyDescent="0.3">
      <c r="A87">
        <v>4500</v>
      </c>
      <c r="D87" t="s">
        <v>357</v>
      </c>
      <c r="E87" t="s">
        <v>358</v>
      </c>
      <c r="F87" t="s">
        <v>359</v>
      </c>
      <c r="J87" s="4" t="str">
        <f>VLOOKUP("BA",Hilfstabelle!C2:D451,2,FALSE)&amp;"-"&amp;VLOOKUP("SpezialA Eigenproduktion",Hilfstabelle!C2:D451,2,FALSE)&amp;"-"&amp;VLOOKUP("SpezialA Handel/Dienstl",Hilfstabelle!C2:D451,2,FALSE)&amp;"-"&amp;VLOOKUP("Lohnaufwand",Hilfstabelle!C2:D451,2,FALSE)</f>
        <v>F4100-F4310-F4340-F4400</v>
      </c>
      <c r="L87" t="s">
        <v>20</v>
      </c>
      <c r="M87" t="str">
        <f t="shared" ref="M87:M136" si="12">IF($M$4="Arbeitskräfte","",IF($A87&gt;0,"F"&amp;$A87&amp;"_"&amp;$M$5,IF($B87&gt;0,"F"&amp;$B87&amp;"_"&amp;$M$5,"F"&amp;$C87&amp;"_"&amp;$M$5)))</f>
        <v/>
      </c>
      <c r="N87" t="str">
        <f t="shared" si="9"/>
        <v/>
      </c>
      <c r="O87" t="str">
        <f t="shared" si="10"/>
        <v/>
      </c>
      <c r="P87" t="str">
        <f>IF(OR($P$4="Aufwand",$P$4="Lohnaufwand"),"",IF($A87&gt;0,"F"&amp;$A87&amp;"_"&amp;$P$5,IF($B87&gt;0,"F"&amp;$B87&amp;"_"&amp;$P$5,"F"&amp;$C87&amp;"_"&amp;$P$5)))</f>
        <v/>
      </c>
    </row>
    <row r="88" spans="1:17" x14ac:dyDescent="0.3">
      <c r="J88" s="4"/>
    </row>
    <row r="89" spans="1:17" s="23" customFormat="1" x14ac:dyDescent="0.3">
      <c r="B89" s="23">
        <v>4510</v>
      </c>
      <c r="D89" s="23" t="s">
        <v>460</v>
      </c>
      <c r="E89" s="23" t="s">
        <v>460</v>
      </c>
      <c r="J89" s="24" t="s">
        <v>461</v>
      </c>
      <c r="L89" t="s">
        <v>20</v>
      </c>
      <c r="M89" s="23" t="str">
        <f t="shared" si="12"/>
        <v/>
      </c>
      <c r="N89" s="23" t="str">
        <f t="shared" si="9"/>
        <v/>
      </c>
      <c r="O89" s="23" t="str">
        <f t="shared" si="10"/>
        <v/>
      </c>
      <c r="P89" s="23" t="str">
        <f t="shared" ref="P89:P142" si="13">IF(OR($P$4="Aufwand",$P$4="Lohnaufwand"),"",IF($A89&gt;0,"F"&amp;$A89&amp;"_"&amp;$P$5,IF($B89&gt;0,"F"&amp;$B89&amp;"_"&amp;$P$5,"F"&amp;$C89&amp;"_"&amp;$P$5)))</f>
        <v/>
      </c>
      <c r="Q89" s="23" t="str">
        <f>IF(OR($Q$4="Vermögen"),"",IF($A89&gt;0,"F"&amp;$A89&amp;"_"&amp;$Q$5,IF($B89&gt;0,"F"&amp;$B89&amp;"_"&amp;$Q$5,"F"&amp;$C89&amp;"_"&amp;$Q$5)))</f>
        <v/>
      </c>
    </row>
    <row r="90" spans="1:17" x14ac:dyDescent="0.3">
      <c r="C90">
        <v>4511</v>
      </c>
      <c r="D90" t="s">
        <v>457</v>
      </c>
      <c r="E90" t="s">
        <v>458</v>
      </c>
      <c r="J90" s="4" t="s">
        <v>459</v>
      </c>
      <c r="L90" t="s">
        <v>20</v>
      </c>
      <c r="M90" t="str">
        <f t="shared" si="12"/>
        <v/>
      </c>
      <c r="N90" t="str">
        <f t="shared" si="9"/>
        <v/>
      </c>
      <c r="O90" t="str">
        <f t="shared" si="10"/>
        <v/>
      </c>
      <c r="P90" t="str">
        <f t="shared" si="13"/>
        <v/>
      </c>
      <c r="Q90" t="str">
        <f t="shared" ref="Q90:Q103" si="14">IF(OR($Q$4="Vermögen"),"",IF($A90&gt;0,"F"&amp;$A90&amp;"_"&amp;$Q$5,IF($B90&gt;0,"F"&amp;$B90&amp;"_"&amp;$Q$5,"F"&amp;$C90&amp;"_"&amp;$Q$5)))</f>
        <v/>
      </c>
    </row>
    <row r="91" spans="1:17" x14ac:dyDescent="0.3">
      <c r="C91">
        <v>4512</v>
      </c>
      <c r="D91" t="s">
        <v>462</v>
      </c>
      <c r="E91" t="s">
        <v>462</v>
      </c>
      <c r="J91" s="4" t="s">
        <v>463</v>
      </c>
      <c r="L91" t="s">
        <v>20</v>
      </c>
      <c r="M91" t="str">
        <f t="shared" si="12"/>
        <v/>
      </c>
      <c r="N91" t="str">
        <f t="shared" si="9"/>
        <v/>
      </c>
      <c r="O91" t="str">
        <f t="shared" si="10"/>
        <v/>
      </c>
      <c r="P91" t="str">
        <f t="shared" si="13"/>
        <v/>
      </c>
      <c r="Q91" t="str">
        <f t="shared" si="14"/>
        <v/>
      </c>
    </row>
    <row r="92" spans="1:17" x14ac:dyDescent="0.3">
      <c r="C92">
        <v>4513</v>
      </c>
      <c r="D92" t="s">
        <v>464</v>
      </c>
      <c r="I92">
        <v>431</v>
      </c>
      <c r="J92" s="4"/>
      <c r="L92" t="s">
        <v>20</v>
      </c>
      <c r="M92" t="str">
        <f t="shared" si="12"/>
        <v/>
      </c>
      <c r="N92" t="str">
        <f t="shared" si="9"/>
        <v/>
      </c>
      <c r="O92" t="str">
        <f t="shared" si="10"/>
        <v/>
      </c>
      <c r="P92" t="str">
        <f t="shared" si="13"/>
        <v/>
      </c>
      <c r="Q92" t="str">
        <f t="shared" si="14"/>
        <v/>
      </c>
    </row>
    <row r="93" spans="1:17" x14ac:dyDescent="0.3">
      <c r="C93">
        <v>4514</v>
      </c>
      <c r="D93" t="s">
        <v>238</v>
      </c>
      <c r="I93">
        <v>432</v>
      </c>
      <c r="J93" s="4"/>
      <c r="L93" t="s">
        <v>20</v>
      </c>
      <c r="M93" t="str">
        <f t="shared" si="12"/>
        <v/>
      </c>
      <c r="N93" t="str">
        <f t="shared" si="9"/>
        <v/>
      </c>
      <c r="O93" t="str">
        <f t="shared" si="10"/>
        <v/>
      </c>
      <c r="P93" t="str">
        <f t="shared" si="13"/>
        <v/>
      </c>
      <c r="Q93" t="str">
        <f t="shared" si="14"/>
        <v/>
      </c>
    </row>
    <row r="94" spans="1:17" x14ac:dyDescent="0.3">
      <c r="C94">
        <v>4515</v>
      </c>
      <c r="D94" t="s">
        <v>465</v>
      </c>
      <c r="I94">
        <v>433</v>
      </c>
      <c r="J94" s="4"/>
      <c r="L94" t="s">
        <v>20</v>
      </c>
      <c r="M94" t="str">
        <f t="shared" si="12"/>
        <v/>
      </c>
      <c r="N94" t="str">
        <f t="shared" si="9"/>
        <v/>
      </c>
      <c r="O94" t="str">
        <f t="shared" si="10"/>
        <v/>
      </c>
      <c r="P94" t="str">
        <f t="shared" si="13"/>
        <v/>
      </c>
      <c r="Q94" t="str">
        <f t="shared" si="14"/>
        <v/>
      </c>
    </row>
    <row r="95" spans="1:17" x14ac:dyDescent="0.3">
      <c r="C95">
        <v>4516</v>
      </c>
      <c r="D95" t="s">
        <v>466</v>
      </c>
      <c r="I95">
        <v>434</v>
      </c>
      <c r="J95" s="4"/>
      <c r="L95" t="s">
        <v>20</v>
      </c>
      <c r="M95" t="str">
        <f t="shared" si="12"/>
        <v/>
      </c>
      <c r="N95" t="str">
        <f t="shared" si="9"/>
        <v/>
      </c>
      <c r="O95" t="str">
        <f t="shared" si="10"/>
        <v/>
      </c>
      <c r="P95" t="str">
        <f t="shared" si="13"/>
        <v/>
      </c>
      <c r="Q95" t="str">
        <f t="shared" si="14"/>
        <v/>
      </c>
    </row>
    <row r="96" spans="1:17" x14ac:dyDescent="0.3">
      <c r="C96">
        <v>4517</v>
      </c>
      <c r="D96" t="s">
        <v>2154</v>
      </c>
      <c r="J96" t="s">
        <v>2068</v>
      </c>
      <c r="M96" t="str">
        <f t="shared" si="12"/>
        <v/>
      </c>
      <c r="N96" t="str">
        <f t="shared" si="9"/>
        <v/>
      </c>
      <c r="O96" t="str">
        <f t="shared" si="10"/>
        <v/>
      </c>
      <c r="P96" t="str">
        <f t="shared" si="13"/>
        <v/>
      </c>
      <c r="Q96" t="str">
        <f t="shared" si="14"/>
        <v/>
      </c>
    </row>
    <row r="97" spans="1:17" x14ac:dyDescent="0.3">
      <c r="J97" s="4"/>
    </row>
    <row r="98" spans="1:17" x14ac:dyDescent="0.3">
      <c r="B98">
        <v>4520</v>
      </c>
      <c r="D98" t="s">
        <v>467</v>
      </c>
      <c r="E98" t="s">
        <v>468</v>
      </c>
      <c r="F98" t="s">
        <v>469</v>
      </c>
      <c r="J98" s="4" t="s">
        <v>470</v>
      </c>
      <c r="L98" t="s">
        <v>20</v>
      </c>
      <c r="M98" t="str">
        <f t="shared" si="12"/>
        <v/>
      </c>
      <c r="N98" t="str">
        <f t="shared" si="9"/>
        <v/>
      </c>
      <c r="O98" t="str">
        <f t="shared" si="10"/>
        <v/>
      </c>
      <c r="P98" t="str">
        <f t="shared" si="13"/>
        <v/>
      </c>
      <c r="Q98" t="str">
        <f t="shared" si="14"/>
        <v/>
      </c>
    </row>
    <row r="99" spans="1:17" x14ac:dyDescent="0.3">
      <c r="C99">
        <v>4521</v>
      </c>
      <c r="D99" t="s">
        <v>2154</v>
      </c>
      <c r="J99" t="s">
        <v>2068</v>
      </c>
    </row>
    <row r="100" spans="1:17" x14ac:dyDescent="0.3">
      <c r="C100">
        <v>4522</v>
      </c>
      <c r="D100" t="s">
        <v>471</v>
      </c>
      <c r="E100" t="s">
        <v>472</v>
      </c>
      <c r="F100" t="s">
        <v>2104</v>
      </c>
      <c r="J100" s="4" t="s">
        <v>473</v>
      </c>
      <c r="L100" t="s">
        <v>20</v>
      </c>
      <c r="M100" t="str">
        <f t="shared" si="12"/>
        <v/>
      </c>
      <c r="N100" t="str">
        <f t="shared" si="9"/>
        <v/>
      </c>
      <c r="O100" t="str">
        <f t="shared" si="10"/>
        <v/>
      </c>
      <c r="P100" t="str">
        <f t="shared" si="13"/>
        <v/>
      </c>
      <c r="Q100" t="str">
        <f t="shared" si="14"/>
        <v/>
      </c>
    </row>
    <row r="101" spans="1:17" x14ac:dyDescent="0.3">
      <c r="C101">
        <v>4523</v>
      </c>
      <c r="D101" t="s">
        <v>474</v>
      </c>
      <c r="J101" s="4" t="s">
        <v>475</v>
      </c>
      <c r="L101" t="s">
        <v>20</v>
      </c>
      <c r="M101" t="str">
        <f t="shared" si="12"/>
        <v/>
      </c>
      <c r="N101" t="str">
        <f t="shared" si="9"/>
        <v/>
      </c>
      <c r="O101" t="str">
        <f t="shared" si="10"/>
        <v/>
      </c>
      <c r="P101" t="str">
        <f t="shared" si="13"/>
        <v/>
      </c>
      <c r="Q101" t="str">
        <f t="shared" si="14"/>
        <v/>
      </c>
    </row>
    <row r="102" spans="1:17" x14ac:dyDescent="0.3">
      <c r="C102">
        <v>4524</v>
      </c>
      <c r="D102" t="s">
        <v>476</v>
      </c>
      <c r="E102" t="s">
        <v>477</v>
      </c>
      <c r="I102">
        <v>481</v>
      </c>
      <c r="J102" s="4"/>
      <c r="L102" t="s">
        <v>20</v>
      </c>
      <c r="M102" t="str">
        <f t="shared" si="12"/>
        <v/>
      </c>
      <c r="N102" t="str">
        <f t="shared" si="9"/>
        <v/>
      </c>
      <c r="O102" t="str">
        <f t="shared" si="10"/>
        <v/>
      </c>
      <c r="P102" t="str">
        <f t="shared" si="13"/>
        <v/>
      </c>
      <c r="Q102" t="str">
        <f t="shared" si="14"/>
        <v/>
      </c>
    </row>
    <row r="103" spans="1:17" x14ac:dyDescent="0.3">
      <c r="C103">
        <v>4525</v>
      </c>
      <c r="D103" t="s">
        <v>468</v>
      </c>
      <c r="I103">
        <v>435</v>
      </c>
      <c r="J103" s="4"/>
      <c r="L103" t="s">
        <v>20</v>
      </c>
      <c r="M103" t="str">
        <f t="shared" si="12"/>
        <v/>
      </c>
      <c r="N103" t="str">
        <f t="shared" si="9"/>
        <v/>
      </c>
      <c r="O103" t="str">
        <f t="shared" si="10"/>
        <v/>
      </c>
      <c r="P103" t="str">
        <f t="shared" si="13"/>
        <v/>
      </c>
      <c r="Q103" t="str">
        <f t="shared" si="14"/>
        <v/>
      </c>
    </row>
    <row r="104" spans="1:17" x14ac:dyDescent="0.3">
      <c r="J104" s="4"/>
    </row>
    <row r="105" spans="1:17" x14ac:dyDescent="0.3">
      <c r="B105">
        <v>4530</v>
      </c>
      <c r="D105" t="s">
        <v>478</v>
      </c>
      <c r="E105" t="s">
        <v>478</v>
      </c>
      <c r="F105" t="s">
        <v>479</v>
      </c>
      <c r="J105" s="4" t="s">
        <v>167</v>
      </c>
      <c r="L105" t="s">
        <v>20</v>
      </c>
      <c r="M105" t="str">
        <f t="shared" si="12"/>
        <v/>
      </c>
      <c r="N105" t="str">
        <f t="shared" si="9"/>
        <v/>
      </c>
      <c r="O105" t="str">
        <f t="shared" si="10"/>
        <v/>
      </c>
      <c r="P105" t="str">
        <f t="shared" si="13"/>
        <v/>
      </c>
    </row>
    <row r="106" spans="1:17" x14ac:dyDescent="0.3">
      <c r="C106">
        <v>4531</v>
      </c>
      <c r="D106" t="s">
        <v>480</v>
      </c>
      <c r="I106">
        <v>438</v>
      </c>
      <c r="J106" s="4"/>
      <c r="L106" t="s">
        <v>20</v>
      </c>
      <c r="M106" t="str">
        <f t="shared" si="12"/>
        <v/>
      </c>
      <c r="N106" t="str">
        <f t="shared" si="9"/>
        <v/>
      </c>
      <c r="O106" t="str">
        <f t="shared" si="10"/>
        <v/>
      </c>
      <c r="P106" t="str">
        <f t="shared" si="13"/>
        <v/>
      </c>
    </row>
    <row r="107" spans="1:17" x14ac:dyDescent="0.3">
      <c r="C107">
        <v>4532</v>
      </c>
      <c r="D107" t="s">
        <v>481</v>
      </c>
      <c r="I107">
        <v>439</v>
      </c>
      <c r="J107" s="4"/>
      <c r="L107" t="s">
        <v>20</v>
      </c>
      <c r="M107" t="str">
        <f t="shared" si="12"/>
        <v/>
      </c>
      <c r="N107" t="str">
        <f t="shared" si="9"/>
        <v/>
      </c>
      <c r="O107" t="str">
        <f t="shared" si="10"/>
        <v/>
      </c>
      <c r="P107" t="str">
        <f t="shared" si="13"/>
        <v/>
      </c>
    </row>
    <row r="108" spans="1:17" x14ac:dyDescent="0.3">
      <c r="C108">
        <v>4533</v>
      </c>
      <c r="D108" t="s">
        <v>482</v>
      </c>
      <c r="I108">
        <v>440</v>
      </c>
      <c r="J108" s="4"/>
      <c r="L108" t="s">
        <v>20</v>
      </c>
      <c r="M108" t="str">
        <f t="shared" si="12"/>
        <v/>
      </c>
      <c r="N108" t="str">
        <f t="shared" si="9"/>
        <v/>
      </c>
      <c r="O108" t="str">
        <f t="shared" si="10"/>
        <v/>
      </c>
      <c r="P108" t="str">
        <f t="shared" si="13"/>
        <v/>
      </c>
    </row>
    <row r="109" spans="1:17" x14ac:dyDescent="0.3">
      <c r="J109" s="4"/>
    </row>
    <row r="111" spans="1:17" x14ac:dyDescent="0.3">
      <c r="A111">
        <v>4600</v>
      </c>
      <c r="D111" t="s">
        <v>486</v>
      </c>
      <c r="E111" t="s">
        <v>487</v>
      </c>
      <c r="J111" s="4" t="str">
        <f>VLOOKUP("sonst. Allgemeiner Aufwand",Hilfstabelle!C2:D451,2,FALSE)&amp;"+i442"</f>
        <v>F4610+i442</v>
      </c>
      <c r="L111" t="s">
        <v>20</v>
      </c>
      <c r="M111" t="str">
        <f t="shared" si="12"/>
        <v/>
      </c>
      <c r="N111" t="str">
        <f t="shared" si="9"/>
        <v/>
      </c>
      <c r="O111" t="str">
        <f t="shared" si="10"/>
        <v/>
      </c>
      <c r="P111" t="str">
        <f t="shared" si="13"/>
        <v/>
      </c>
      <c r="Q111" t="str">
        <f t="shared" ref="Q111:Q132" si="15">IF(OR($Q$4="Vermögen"),"",IF($A111&gt;0,"F"&amp;$A111&amp;"_"&amp;$Q$5,IF($B111&gt;0,"F"&amp;$B111&amp;"_"&amp;$Q$5,"F"&amp;$C111&amp;"_"&amp;$Q$5)))</f>
        <v/>
      </c>
    </row>
    <row r="112" spans="1:17" x14ac:dyDescent="0.3">
      <c r="B112">
        <v>4610</v>
      </c>
      <c r="D112" t="s">
        <v>483</v>
      </c>
      <c r="E112" t="s">
        <v>484</v>
      </c>
      <c r="J112" s="4" t="s">
        <v>485</v>
      </c>
      <c r="L112" t="s">
        <v>20</v>
      </c>
      <c r="M112" t="str">
        <f t="shared" si="12"/>
        <v/>
      </c>
      <c r="N112" t="str">
        <f t="shared" si="9"/>
        <v/>
      </c>
      <c r="O112" t="str">
        <f t="shared" si="10"/>
        <v/>
      </c>
      <c r="P112" t="str">
        <f t="shared" si="13"/>
        <v/>
      </c>
      <c r="Q112" t="str">
        <f t="shared" si="15"/>
        <v/>
      </c>
    </row>
    <row r="113" spans="2:17" x14ac:dyDescent="0.3">
      <c r="B113">
        <v>4620</v>
      </c>
      <c r="D113" t="s">
        <v>491</v>
      </c>
      <c r="E113" t="s">
        <v>492</v>
      </c>
      <c r="J113" s="4" t="s">
        <v>493</v>
      </c>
      <c r="L113" t="s">
        <v>20</v>
      </c>
      <c r="M113" t="str">
        <f t="shared" si="12"/>
        <v/>
      </c>
      <c r="N113" t="str">
        <f t="shared" si="9"/>
        <v/>
      </c>
      <c r="O113" t="str">
        <f t="shared" si="10"/>
        <v/>
      </c>
      <c r="P113" t="str">
        <f t="shared" si="13"/>
        <v/>
      </c>
      <c r="Q113" t="str">
        <f t="shared" si="15"/>
        <v/>
      </c>
    </row>
    <row r="114" spans="2:17" x14ac:dyDescent="0.3">
      <c r="C114">
        <v>4621</v>
      </c>
      <c r="D114" t="s">
        <v>494</v>
      </c>
      <c r="E114" t="s">
        <v>495</v>
      </c>
      <c r="J114" s="4" t="s">
        <v>496</v>
      </c>
      <c r="L114" t="s">
        <v>20</v>
      </c>
      <c r="M114" t="str">
        <f t="shared" si="12"/>
        <v/>
      </c>
      <c r="N114" t="str">
        <f t="shared" si="9"/>
        <v/>
      </c>
      <c r="O114" t="str">
        <f t="shared" si="10"/>
        <v/>
      </c>
      <c r="P114" t="str">
        <f t="shared" si="13"/>
        <v/>
      </c>
      <c r="Q114" t="str">
        <f t="shared" si="15"/>
        <v/>
      </c>
    </row>
    <row r="115" spans="2:17" x14ac:dyDescent="0.3">
      <c r="C115">
        <v>4622</v>
      </c>
      <c r="D115" t="s">
        <v>488</v>
      </c>
      <c r="J115" s="4" t="s">
        <v>428</v>
      </c>
      <c r="L115" t="s">
        <v>20</v>
      </c>
      <c r="M115" t="str">
        <f t="shared" si="12"/>
        <v/>
      </c>
      <c r="N115" t="str">
        <f t="shared" si="9"/>
        <v/>
      </c>
      <c r="O115" t="str">
        <f t="shared" si="10"/>
        <v/>
      </c>
      <c r="P115" t="str">
        <f t="shared" si="13"/>
        <v/>
      </c>
    </row>
    <row r="116" spans="2:17" x14ac:dyDescent="0.3">
      <c r="C116">
        <v>4623</v>
      </c>
      <c r="D116" t="s">
        <v>489</v>
      </c>
      <c r="J116" s="4" t="s">
        <v>490</v>
      </c>
      <c r="L116" t="s">
        <v>20</v>
      </c>
      <c r="M116" t="str">
        <f t="shared" si="12"/>
        <v/>
      </c>
      <c r="N116" t="str">
        <f t="shared" si="9"/>
        <v/>
      </c>
      <c r="O116" t="str">
        <f t="shared" si="10"/>
        <v/>
      </c>
      <c r="P116" t="str">
        <f t="shared" si="13"/>
        <v/>
      </c>
    </row>
    <row r="117" spans="2:17" x14ac:dyDescent="0.3">
      <c r="C117">
        <v>4624</v>
      </c>
      <c r="D117" t="s">
        <v>497</v>
      </c>
      <c r="E117" t="s">
        <v>497</v>
      </c>
      <c r="J117" s="4" t="s">
        <v>498</v>
      </c>
      <c r="L117" t="s">
        <v>20</v>
      </c>
      <c r="M117" t="str">
        <f t="shared" si="12"/>
        <v/>
      </c>
      <c r="N117" t="str">
        <f t="shared" si="9"/>
        <v/>
      </c>
      <c r="O117" t="str">
        <f t="shared" si="10"/>
        <v/>
      </c>
      <c r="P117" t="str">
        <f t="shared" si="13"/>
        <v/>
      </c>
    </row>
    <row r="118" spans="2:17" x14ac:dyDescent="0.3">
      <c r="C118">
        <v>4625</v>
      </c>
      <c r="D118" t="s">
        <v>500</v>
      </c>
      <c r="E118" t="s">
        <v>501</v>
      </c>
      <c r="I118">
        <v>442</v>
      </c>
      <c r="J118" s="4"/>
      <c r="L118" t="s">
        <v>20</v>
      </c>
      <c r="M118" t="str">
        <f t="shared" si="12"/>
        <v/>
      </c>
      <c r="N118" t="str">
        <f t="shared" si="9"/>
        <v/>
      </c>
      <c r="O118" t="str">
        <f t="shared" si="10"/>
        <v/>
      </c>
      <c r="P118" t="str">
        <f t="shared" si="13"/>
        <v/>
      </c>
    </row>
    <row r="119" spans="2:17" x14ac:dyDescent="0.3">
      <c r="C119">
        <v>4626</v>
      </c>
      <c r="D119" t="s">
        <v>502</v>
      </c>
      <c r="E119" t="s">
        <v>503</v>
      </c>
      <c r="I119">
        <v>131</v>
      </c>
      <c r="J119" s="4"/>
      <c r="L119" t="s">
        <v>20</v>
      </c>
      <c r="M119" t="str">
        <f t="shared" si="12"/>
        <v/>
      </c>
      <c r="N119" t="str">
        <f t="shared" si="9"/>
        <v/>
      </c>
      <c r="O119" t="str">
        <f t="shared" si="10"/>
        <v/>
      </c>
      <c r="P119" t="str">
        <f t="shared" si="13"/>
        <v/>
      </c>
      <c r="Q119" t="str">
        <f t="shared" si="15"/>
        <v/>
      </c>
    </row>
    <row r="120" spans="2:17" x14ac:dyDescent="0.3">
      <c r="C120">
        <v>4627</v>
      </c>
      <c r="D120" t="s">
        <v>504</v>
      </c>
      <c r="E120" t="s">
        <v>477</v>
      </c>
      <c r="I120">
        <v>482</v>
      </c>
      <c r="J120" s="4"/>
      <c r="L120" t="s">
        <v>20</v>
      </c>
      <c r="M120" t="str">
        <f t="shared" si="12"/>
        <v/>
      </c>
      <c r="N120" t="str">
        <f t="shared" si="9"/>
        <v/>
      </c>
      <c r="O120" t="str">
        <f t="shared" si="10"/>
        <v/>
      </c>
      <c r="P120" t="str">
        <f t="shared" si="13"/>
        <v/>
      </c>
      <c r="Q120" t="str">
        <f t="shared" si="15"/>
        <v/>
      </c>
    </row>
    <row r="121" spans="2:17" x14ac:dyDescent="0.3">
      <c r="C121">
        <v>4628</v>
      </c>
      <c r="D121" t="s">
        <v>505</v>
      </c>
      <c r="E121" t="s">
        <v>505</v>
      </c>
      <c r="I121">
        <v>444</v>
      </c>
      <c r="J121" s="4"/>
      <c r="L121" t="s">
        <v>20</v>
      </c>
      <c r="M121" t="str">
        <f t="shared" si="12"/>
        <v/>
      </c>
      <c r="N121" t="str">
        <f t="shared" si="9"/>
        <v/>
      </c>
      <c r="O121" t="str">
        <f t="shared" si="10"/>
        <v/>
      </c>
      <c r="P121" t="str">
        <f t="shared" si="13"/>
        <v/>
      </c>
      <c r="Q121" t="str">
        <f t="shared" si="15"/>
        <v/>
      </c>
    </row>
    <row r="122" spans="2:17" x14ac:dyDescent="0.3">
      <c r="C122">
        <v>4629</v>
      </c>
      <c r="D122" t="s">
        <v>506</v>
      </c>
      <c r="I122">
        <v>476</v>
      </c>
      <c r="J122" s="4"/>
      <c r="L122" t="s">
        <v>20</v>
      </c>
      <c r="M122" t="str">
        <f t="shared" si="12"/>
        <v/>
      </c>
      <c r="N122" t="str">
        <f t="shared" si="9"/>
        <v/>
      </c>
      <c r="O122" t="str">
        <f t="shared" si="10"/>
        <v/>
      </c>
      <c r="P122" t="str">
        <f t="shared" si="13"/>
        <v/>
      </c>
    </row>
    <row r="123" spans="2:17" x14ac:dyDescent="0.3">
      <c r="C123">
        <v>4631</v>
      </c>
      <c r="D123" t="s">
        <v>58</v>
      </c>
      <c r="I123">
        <v>445</v>
      </c>
      <c r="J123" s="4"/>
      <c r="L123" t="s">
        <v>20</v>
      </c>
      <c r="M123" t="str">
        <f t="shared" si="12"/>
        <v/>
      </c>
      <c r="N123" t="str">
        <f t="shared" si="9"/>
        <v/>
      </c>
      <c r="O123" t="str">
        <f t="shared" si="10"/>
        <v/>
      </c>
      <c r="P123" t="str">
        <f t="shared" si="13"/>
        <v/>
      </c>
    </row>
    <row r="124" spans="2:17" x14ac:dyDescent="0.3">
      <c r="C124">
        <v>4632</v>
      </c>
      <c r="D124" t="s">
        <v>507</v>
      </c>
      <c r="E124" t="s">
        <v>507</v>
      </c>
      <c r="I124">
        <v>447</v>
      </c>
      <c r="J124" s="4"/>
      <c r="L124" t="s">
        <v>20</v>
      </c>
      <c r="M124" t="str">
        <f t="shared" si="12"/>
        <v/>
      </c>
      <c r="N124" t="str">
        <f t="shared" si="9"/>
        <v/>
      </c>
      <c r="O124" t="str">
        <f t="shared" si="10"/>
        <v/>
      </c>
      <c r="P124" t="str">
        <f t="shared" si="13"/>
        <v/>
      </c>
    </row>
    <row r="125" spans="2:17" x14ac:dyDescent="0.3">
      <c r="C125">
        <v>4633</v>
      </c>
      <c r="D125" t="s">
        <v>508</v>
      </c>
      <c r="I125">
        <v>448</v>
      </c>
      <c r="J125" s="4"/>
      <c r="L125" t="s">
        <v>20</v>
      </c>
      <c r="M125" t="str">
        <f t="shared" si="12"/>
        <v/>
      </c>
      <c r="N125" t="str">
        <f t="shared" si="9"/>
        <v/>
      </c>
      <c r="O125" t="str">
        <f t="shared" si="10"/>
        <v/>
      </c>
      <c r="P125" t="str">
        <f t="shared" si="13"/>
        <v/>
      </c>
    </row>
    <row r="126" spans="2:17" x14ac:dyDescent="0.3">
      <c r="C126">
        <v>4634</v>
      </c>
      <c r="D126" t="s">
        <v>509</v>
      </c>
      <c r="I126">
        <v>471</v>
      </c>
      <c r="J126" s="4"/>
      <c r="L126" t="s">
        <v>20</v>
      </c>
      <c r="M126" t="str">
        <f t="shared" si="12"/>
        <v/>
      </c>
      <c r="N126" t="str">
        <f t="shared" si="9"/>
        <v/>
      </c>
      <c r="O126" t="str">
        <f t="shared" si="10"/>
        <v/>
      </c>
      <c r="P126" t="str">
        <f t="shared" si="13"/>
        <v/>
      </c>
    </row>
    <row r="127" spans="2:17" x14ac:dyDescent="0.3">
      <c r="C127">
        <v>4635</v>
      </c>
      <c r="D127" t="s">
        <v>510</v>
      </c>
      <c r="I127">
        <v>472</v>
      </c>
      <c r="J127" s="4"/>
      <c r="L127" t="s">
        <v>20</v>
      </c>
      <c r="M127" t="str">
        <f t="shared" si="12"/>
        <v/>
      </c>
      <c r="N127" t="str">
        <f t="shared" si="9"/>
        <v/>
      </c>
      <c r="O127" t="str">
        <f t="shared" si="10"/>
        <v/>
      </c>
      <c r="P127" t="str">
        <f t="shared" si="13"/>
        <v/>
      </c>
    </row>
    <row r="128" spans="2:17" x14ac:dyDescent="0.3">
      <c r="C128">
        <v>4636</v>
      </c>
      <c r="D128" t="s">
        <v>511</v>
      </c>
      <c r="I128">
        <v>473</v>
      </c>
      <c r="J128" s="4"/>
      <c r="L128" t="s">
        <v>20</v>
      </c>
      <c r="M128" t="str">
        <f t="shared" si="12"/>
        <v/>
      </c>
      <c r="N128" t="str">
        <f t="shared" si="9"/>
        <v/>
      </c>
      <c r="O128" t="str">
        <f t="shared" si="10"/>
        <v/>
      </c>
      <c r="P128" t="str">
        <f t="shared" si="13"/>
        <v/>
      </c>
    </row>
    <row r="129" spans="2:17" x14ac:dyDescent="0.3">
      <c r="C129">
        <v>4637</v>
      </c>
      <c r="D129" t="s">
        <v>512</v>
      </c>
      <c r="I129">
        <v>474</v>
      </c>
      <c r="J129" s="4"/>
      <c r="L129" t="s">
        <v>20</v>
      </c>
      <c r="M129" t="str">
        <f t="shared" si="12"/>
        <v/>
      </c>
      <c r="N129" t="str">
        <f t="shared" si="9"/>
        <v/>
      </c>
      <c r="O129" t="str">
        <f t="shared" si="10"/>
        <v/>
      </c>
      <c r="P129" t="str">
        <f t="shared" si="13"/>
        <v/>
      </c>
    </row>
    <row r="130" spans="2:17" x14ac:dyDescent="0.3">
      <c r="C130">
        <v>4638</v>
      </c>
      <c r="D130" t="s">
        <v>513</v>
      </c>
      <c r="E130" t="s">
        <v>514</v>
      </c>
      <c r="I130">
        <v>475</v>
      </c>
      <c r="J130" s="4"/>
      <c r="L130" t="s">
        <v>20</v>
      </c>
      <c r="M130" t="str">
        <f t="shared" si="12"/>
        <v/>
      </c>
      <c r="N130" t="str">
        <f t="shared" si="9"/>
        <v/>
      </c>
      <c r="O130" t="str">
        <f t="shared" si="10"/>
        <v/>
      </c>
      <c r="P130" t="str">
        <f t="shared" si="13"/>
        <v/>
      </c>
    </row>
    <row r="131" spans="2:17" x14ac:dyDescent="0.3">
      <c r="C131">
        <v>4639</v>
      </c>
      <c r="D131" t="s">
        <v>517</v>
      </c>
      <c r="E131" t="s">
        <v>518</v>
      </c>
      <c r="I131">
        <v>123</v>
      </c>
      <c r="J131" s="4"/>
      <c r="L131" t="s">
        <v>20</v>
      </c>
      <c r="M131" t="str">
        <f t="shared" si="12"/>
        <v/>
      </c>
      <c r="N131" t="str">
        <f t="shared" si="9"/>
        <v/>
      </c>
      <c r="O131" t="str">
        <f t="shared" si="10"/>
        <v/>
      </c>
      <c r="P131" t="str">
        <f t="shared" si="13"/>
        <v/>
      </c>
      <c r="Q131" t="str">
        <f t="shared" si="15"/>
        <v/>
      </c>
    </row>
    <row r="132" spans="2:17" x14ac:dyDescent="0.3">
      <c r="C132">
        <v>4641</v>
      </c>
      <c r="D132" t="s">
        <v>1906</v>
      </c>
      <c r="E132" t="s">
        <v>1905</v>
      </c>
      <c r="J132" s="4" t="s">
        <v>499</v>
      </c>
      <c r="L132" t="s">
        <v>20</v>
      </c>
      <c r="M132" t="str">
        <f t="shared" si="12"/>
        <v/>
      </c>
      <c r="N132" t="str">
        <f t="shared" si="9"/>
        <v/>
      </c>
      <c r="O132" t="str">
        <f t="shared" si="10"/>
        <v/>
      </c>
      <c r="P132" t="str">
        <f t="shared" si="13"/>
        <v/>
      </c>
      <c r="Q132" t="str">
        <f t="shared" si="15"/>
        <v/>
      </c>
    </row>
    <row r="134" spans="2:17" x14ac:dyDescent="0.3">
      <c r="D134" s="1" t="s">
        <v>549</v>
      </c>
    </row>
    <row r="135" spans="2:17" x14ac:dyDescent="0.3">
      <c r="B135">
        <v>4710</v>
      </c>
      <c r="D135" t="s">
        <v>519</v>
      </c>
      <c r="E135" t="s">
        <v>520</v>
      </c>
      <c r="F135" t="s">
        <v>521</v>
      </c>
      <c r="J135" s="4" t="s">
        <v>522</v>
      </c>
      <c r="L135" t="s">
        <v>20</v>
      </c>
      <c r="M135" t="str">
        <f t="shared" si="12"/>
        <v/>
      </c>
      <c r="N135" t="str">
        <f t="shared" si="9"/>
        <v/>
      </c>
      <c r="O135" t="str">
        <f t="shared" si="10"/>
        <v/>
      </c>
      <c r="P135" t="str">
        <f t="shared" si="13"/>
        <v/>
      </c>
    </row>
    <row r="136" spans="2:17" x14ac:dyDescent="0.3">
      <c r="C136">
        <v>4711</v>
      </c>
      <c r="D136" t="s">
        <v>527</v>
      </c>
      <c r="E136" t="s">
        <v>527</v>
      </c>
      <c r="J136" s="4" t="str">
        <f>VLOOKUP("Lohnaufwand",Hilfstabelle!C2:D451,2,FALSE)&amp;"+"&amp;VLOOKUP("Kalk. Lohnansatz",Hilfstabelle!C2:D451,2,FALSE)</f>
        <v>F4400+F4710</v>
      </c>
      <c r="L136" t="s">
        <v>20</v>
      </c>
      <c r="M136" t="str">
        <f t="shared" si="12"/>
        <v/>
      </c>
      <c r="N136" t="str">
        <f t="shared" si="9"/>
        <v/>
      </c>
      <c r="O136" t="str">
        <f t="shared" si="10"/>
        <v/>
      </c>
      <c r="P136" t="str">
        <f t="shared" si="13"/>
        <v/>
      </c>
    </row>
    <row r="137" spans="2:17" x14ac:dyDescent="0.3">
      <c r="C137">
        <v>4712</v>
      </c>
      <c r="D137" t="s">
        <v>530</v>
      </c>
      <c r="E137" t="s">
        <v>531</v>
      </c>
      <c r="J137" s="4" t="str">
        <f>VLOOKUP("BA",Hilfstabelle!C2:D451,2,FALSE)&amp;"+"&amp;VLOOKUP("Kalk. Lohnansatz",Hilfstabelle!C2:D451,2,FALSE)</f>
        <v>F4100+F4710</v>
      </c>
      <c r="L137" t="s">
        <v>20</v>
      </c>
      <c r="N137" t="str">
        <f t="shared" si="9"/>
        <v/>
      </c>
      <c r="O137" t="str">
        <f t="shared" si="10"/>
        <v/>
      </c>
      <c r="P137" t="str">
        <f t="shared" si="13"/>
        <v/>
      </c>
    </row>
    <row r="138" spans="2:17" x14ac:dyDescent="0.3">
      <c r="C138">
        <v>4713</v>
      </c>
      <c r="D138" t="s">
        <v>546</v>
      </c>
      <c r="E138" t="s">
        <v>547</v>
      </c>
      <c r="J138" s="4" t="str">
        <f>VLOOKUP("UA",Hilfstabelle!C2:D451,2,FALSE)&amp;"+"&amp;VLOOKUP("Kalk. Lohnansatz",Hilfstabelle!C2:D451,2,FALSE)</f>
        <v>F4000+F4710</v>
      </c>
      <c r="L138" t="s">
        <v>20</v>
      </c>
      <c r="N138" t="str">
        <f t="shared" si="9"/>
        <v/>
      </c>
      <c r="O138" t="str">
        <f t="shared" si="10"/>
        <v/>
      </c>
      <c r="P138" t="str">
        <f t="shared" si="13"/>
        <v/>
      </c>
    </row>
    <row r="139" spans="2:17" x14ac:dyDescent="0.3">
      <c r="C139">
        <v>4714</v>
      </c>
      <c r="D139" t="s">
        <v>535</v>
      </c>
      <c r="E139" t="s">
        <v>536</v>
      </c>
      <c r="J139" s="4" t="str">
        <f>VLOOKUP("LohnansatzLeitung",Hilfstabelle!C2:D451,2,FALSE)&amp;"+(i640+"&amp;VLOOKUP("Familien-AK",Hilfstabelle!C2:D451,2,FALSE)&amp;"-!1)*"&amp;VLOOKUP("LohnansatzFAKMann",Hilfstabelle!C2:D451,2,FALSE)&amp;"+"&amp;VLOOKUP("UE",Hilfstabelle!C2:D451,2,FALSE)&amp;"*"&amp;VLOOKUP("LohnansatzZuschlagUE",Hilfstabelle!C2:D451,2,FALSE)</f>
        <v>F4930+(i640+F1210-!1)*F4940+F3000*F4950</v>
      </c>
      <c r="L139" t="s">
        <v>20</v>
      </c>
      <c r="N139" t="str">
        <f t="shared" si="9"/>
        <v/>
      </c>
      <c r="O139" t="str">
        <f t="shared" si="10"/>
        <v/>
      </c>
      <c r="P139" t="str">
        <f t="shared" si="13"/>
        <v/>
      </c>
    </row>
    <row r="140" spans="2:17" x14ac:dyDescent="0.3">
      <c r="C140">
        <v>4715</v>
      </c>
      <c r="D140" t="s">
        <v>528</v>
      </c>
      <c r="E140" t="s">
        <v>529</v>
      </c>
      <c r="J140" s="4" t="str">
        <f>"i424+"&amp;VLOOKUP("Kalk. Lohnansatz",Hilfstabelle!C2:D451,2,FALSE)</f>
        <v>i424+F4710</v>
      </c>
      <c r="L140" t="s">
        <v>20</v>
      </c>
      <c r="N140" t="str">
        <f t="shared" ref="N140:N142" si="16">IF($N$4="Flächen","",IF($A140&gt;0,"F"&amp;$A140&amp;"_"&amp;$N$5,IF($B140&gt;0,"F"&amp;$B140&amp;"_"&amp;$N$5,"F"&amp;$C140&amp;"_"&amp;$N$5)))</f>
        <v/>
      </c>
      <c r="O140" t="str">
        <f t="shared" ref="O140:O142" si="17">IF($O$4="Ertrag","",IF($A140&gt;0,"F"&amp;$A140&amp;"_"&amp;$O$5,IF($B140&gt;0,"F"&amp;$B140&amp;"_"&amp;$O$5,"F"&amp;$C140&amp;"_"&amp;$O$5)))</f>
        <v/>
      </c>
      <c r="P140" t="str">
        <f t="shared" si="13"/>
        <v/>
      </c>
    </row>
    <row r="141" spans="2:17" x14ac:dyDescent="0.3">
      <c r="C141">
        <v>4716</v>
      </c>
      <c r="D141" t="s">
        <v>791</v>
      </c>
      <c r="E141" t="s">
        <v>791</v>
      </c>
      <c r="J141" t="str">
        <f>VLOOKUP("Lohnquote",Hilfstabelle!C65:D496,2,FALSE)&amp;"*!0,3"</f>
        <v>F4711*!0,3</v>
      </c>
      <c r="L141" t="s">
        <v>20</v>
      </c>
      <c r="N141" t="str">
        <f t="shared" si="16"/>
        <v/>
      </c>
      <c r="O141" t="str">
        <f t="shared" si="17"/>
        <v/>
      </c>
      <c r="P141" t="str">
        <f t="shared" si="13"/>
        <v/>
      </c>
    </row>
    <row r="142" spans="2:17" x14ac:dyDescent="0.3">
      <c r="C142">
        <v>4717</v>
      </c>
      <c r="D142" t="s">
        <v>792</v>
      </c>
      <c r="E142" t="s">
        <v>792</v>
      </c>
      <c r="J142" t="str">
        <f>VLOOKUP("Lohnquote",Hilfstabelle!C65:D496,2,FALSE)&amp;"*!0,7"</f>
        <v>F4711*!0,7</v>
      </c>
      <c r="L142" t="s">
        <v>20</v>
      </c>
      <c r="N142" t="str">
        <f t="shared" si="16"/>
        <v/>
      </c>
      <c r="O142" t="str">
        <f t="shared" si="17"/>
        <v/>
      </c>
      <c r="P142" t="str">
        <f t="shared" si="13"/>
        <v/>
      </c>
    </row>
    <row r="144" spans="2:17" x14ac:dyDescent="0.3">
      <c r="B144">
        <v>4720</v>
      </c>
      <c r="D144" t="s">
        <v>1975</v>
      </c>
      <c r="E144" t="s">
        <v>1981</v>
      </c>
      <c r="J144" t="str">
        <f>VLOOKUP("Pachtansatz",Hilfstabelle!C2:D451,2,FALSE)&amp;"+"&amp;VLOOKUP("Zinsansatz",Hilfstabelle!C2:D451,2,FALSE)</f>
        <v>F4721+F4722</v>
      </c>
      <c r="L144" t="s">
        <v>20</v>
      </c>
    </row>
    <row r="145" spans="2:12" x14ac:dyDescent="0.3">
      <c r="C145">
        <v>4721</v>
      </c>
      <c r="D145" t="s">
        <v>523</v>
      </c>
      <c r="E145" s="6" t="s">
        <v>523</v>
      </c>
      <c r="J145" s="4" t="str">
        <f>VLOOKUP("Kalk. Bodenwert (betriebl.)",Hilfstabelle!C2:D451,2,FALSE)&amp;"*"&amp;VLOOKUP("kalkZins_EK",Hilfstabelle!C2:D451,2,FALSE)&amp;"/!2"</f>
        <v>F5530*F5910/!2</v>
      </c>
      <c r="L145" t="s">
        <v>20</v>
      </c>
    </row>
    <row r="146" spans="2:12" x14ac:dyDescent="0.3">
      <c r="C146" s="6">
        <v>4722</v>
      </c>
      <c r="D146" s="6" t="s">
        <v>524</v>
      </c>
      <c r="E146" s="6" t="s">
        <v>524</v>
      </c>
      <c r="F146" s="6"/>
      <c r="G146" s="6"/>
      <c r="H146" s="6"/>
      <c r="I146" s="6"/>
      <c r="J146" s="7" t="str">
        <f>"("&amp;VLOOKUP("Anlagevermögen ohne Boden",Hilfstabelle!C2:D451,2,FALSE)&amp;"+"&amp;VLOOKUP("Kalk. Umlaufvermögen",Hilfstabelle!C2:D451,2,FALSE)&amp;")*"&amp;VLOOKUP("kalkZins_EK",Hilfstabelle!C2:D451,2,FALSE)</f>
        <v>(F5220+F5510)*F5910</v>
      </c>
      <c r="L146" t="s">
        <v>20</v>
      </c>
    </row>
    <row r="148" spans="2:12" x14ac:dyDescent="0.3">
      <c r="B148">
        <v>4730</v>
      </c>
      <c r="D148" t="s">
        <v>532</v>
      </c>
      <c r="E148" t="s">
        <v>532</v>
      </c>
      <c r="J148" s="4" t="str">
        <f>"("&amp;VLOOKUP("Lohnquote",Hilfstabelle!C2:D451,2,FALSE)&amp;"+"&amp;VLOOKUP("Allgemeiner BA",Hilfstabelle!C2:D451,2,FALSE)&amp;"+"&amp;VLOOKUP("Sonst.UE",Hilfstabelle!C2:D451,2,FALSE)&amp;"+"&amp;VLOOKUP("Sonst.UA",Hilfstabelle!C2:D451,2,FALSE)&amp;"+"&amp;VLOOKUP("Zins EigenKapital",Hilfstabelle!C2:D451,2,FALSE)&amp;")/"&amp;VLOOKUP("Kalk. AKh",Hilfstabelle!C2:D451,2,FALSE)</f>
        <v>(F4711+F4500+F3020+F4020+F6910)/F4731</v>
      </c>
      <c r="L148" t="s">
        <v>20</v>
      </c>
    </row>
    <row r="149" spans="2:12" x14ac:dyDescent="0.3">
      <c r="C149">
        <v>4731</v>
      </c>
      <c r="D149" t="s">
        <v>533</v>
      </c>
      <c r="E149" t="s">
        <v>534</v>
      </c>
      <c r="J149" s="4" t="str">
        <f>VLOOKUP("AK insg.",Hilfstabelle!C2:D451,2,FALSE)&amp;"*!1450"</f>
        <v>F1000*!1450</v>
      </c>
      <c r="L149" t="s">
        <v>215</v>
      </c>
    </row>
    <row r="153" spans="2:12" x14ac:dyDescent="0.3">
      <c r="D153" s="1" t="s">
        <v>551</v>
      </c>
    </row>
    <row r="154" spans="2:12" x14ac:dyDescent="0.3">
      <c r="B154">
        <v>4910</v>
      </c>
      <c r="D154" t="s">
        <v>525</v>
      </c>
      <c r="G154" t="s">
        <v>1930</v>
      </c>
      <c r="H154" s="6">
        <v>0.06</v>
      </c>
      <c r="J154" s="4"/>
      <c r="L154" t="s">
        <v>181</v>
      </c>
    </row>
    <row r="155" spans="2:12" x14ac:dyDescent="0.3">
      <c r="B155">
        <v>4920</v>
      </c>
      <c r="D155" t="s">
        <v>526</v>
      </c>
      <c r="G155" t="s">
        <v>1930</v>
      </c>
      <c r="H155" s="6">
        <v>0.03</v>
      </c>
      <c r="J155" s="4"/>
      <c r="L155" t="s">
        <v>181</v>
      </c>
    </row>
    <row r="156" spans="2:12" x14ac:dyDescent="0.3">
      <c r="B156">
        <v>4930</v>
      </c>
      <c r="D156" t="s">
        <v>2155</v>
      </c>
      <c r="E156" t="s">
        <v>538</v>
      </c>
      <c r="F156" t="s">
        <v>539</v>
      </c>
      <c r="G156" t="s">
        <v>1930</v>
      </c>
      <c r="H156" s="28">
        <v>47418</v>
      </c>
      <c r="J156" s="4"/>
      <c r="L156" t="s">
        <v>20</v>
      </c>
    </row>
    <row r="157" spans="2:12" x14ac:dyDescent="0.3">
      <c r="B157">
        <v>4940</v>
      </c>
      <c r="D157" t="s">
        <v>540</v>
      </c>
      <c r="E157" t="s">
        <v>541</v>
      </c>
      <c r="F157" t="s">
        <v>542</v>
      </c>
      <c r="G157" t="s">
        <v>1930</v>
      </c>
      <c r="H157" s="28">
        <v>34866</v>
      </c>
      <c r="L157" t="s">
        <v>20</v>
      </c>
    </row>
    <row r="158" spans="2:12" x14ac:dyDescent="0.3">
      <c r="B158">
        <v>4950</v>
      </c>
      <c r="D158" t="s">
        <v>543</v>
      </c>
      <c r="E158" t="s">
        <v>544</v>
      </c>
      <c r="F158" t="s">
        <v>545</v>
      </c>
      <c r="G158" t="s">
        <v>1930</v>
      </c>
      <c r="H158" s="13">
        <v>2.5999999999999999E-2</v>
      </c>
      <c r="J158" s="4"/>
      <c r="L158" t="s">
        <v>181</v>
      </c>
    </row>
    <row r="160" spans="2:12" x14ac:dyDescent="0.3">
      <c r="J160" s="4"/>
    </row>
    <row r="161" spans="10:10" x14ac:dyDescent="0.3">
      <c r="J161" s="4"/>
    </row>
    <row r="162" spans="10:10" x14ac:dyDescent="0.3">
      <c r="J162" s="4"/>
    </row>
    <row r="163" spans="10:10" x14ac:dyDescent="0.3">
      <c r="J163" s="4"/>
    </row>
    <row r="164" spans="10:10" x14ac:dyDescent="0.3">
      <c r="J164" s="4"/>
    </row>
    <row r="165" spans="10:10" x14ac:dyDescent="0.3">
      <c r="J165" s="4"/>
    </row>
    <row r="166" spans="10:10" x14ac:dyDescent="0.3">
      <c r="J166" s="4"/>
    </row>
    <row r="167" spans="10:10" x14ac:dyDescent="0.3">
      <c r="J167" s="4"/>
    </row>
    <row r="168" spans="10:10" x14ac:dyDescent="0.3">
      <c r="J168" s="4"/>
    </row>
    <row r="169" spans="10:10" x14ac:dyDescent="0.3">
      <c r="J169" s="4"/>
    </row>
    <row r="170" spans="10:10" x14ac:dyDescent="0.3">
      <c r="J170" s="4"/>
    </row>
    <row r="171" spans="10:10" x14ac:dyDescent="0.3">
      <c r="J171" s="4"/>
    </row>
    <row r="172" spans="10:10" x14ac:dyDescent="0.3">
      <c r="J172" s="4"/>
    </row>
    <row r="173" spans="10:10" x14ac:dyDescent="0.3">
      <c r="J173" s="4"/>
    </row>
    <row r="174" spans="10:10" x14ac:dyDescent="0.3">
      <c r="J174" s="4"/>
    </row>
    <row r="175" spans="10:10" x14ac:dyDescent="0.3">
      <c r="J175" s="4"/>
    </row>
    <row r="176" spans="10:10" x14ac:dyDescent="0.3">
      <c r="J176" s="4"/>
    </row>
    <row r="177" spans="10:10" x14ac:dyDescent="0.3">
      <c r="J177" s="4"/>
    </row>
    <row r="178" spans="10:10" x14ac:dyDescent="0.3">
      <c r="J178" s="4"/>
    </row>
    <row r="179" spans="10:10" x14ac:dyDescent="0.3">
      <c r="J179" s="4"/>
    </row>
    <row r="180" spans="10:10" x14ac:dyDescent="0.3">
      <c r="J180" s="4"/>
    </row>
    <row r="181" spans="10:10" x14ac:dyDescent="0.3">
      <c r="J181" s="4"/>
    </row>
    <row r="182" spans="10:10" x14ac:dyDescent="0.3">
      <c r="J182" s="4"/>
    </row>
    <row r="183" spans="10:10" x14ac:dyDescent="0.3">
      <c r="J183" s="4"/>
    </row>
    <row r="184" spans="10:10" x14ac:dyDescent="0.3">
      <c r="J184" s="4"/>
    </row>
    <row r="185" spans="10:10" x14ac:dyDescent="0.3">
      <c r="J185" s="4"/>
    </row>
    <row r="186" spans="10:10" x14ac:dyDescent="0.3">
      <c r="J186" s="4"/>
    </row>
    <row r="187" spans="10:10" x14ac:dyDescent="0.3">
      <c r="J187" s="4"/>
    </row>
    <row r="188" spans="10:10" x14ac:dyDescent="0.3">
      <c r="J188" s="4"/>
    </row>
    <row r="189" spans="10:10" x14ac:dyDescent="0.3">
      <c r="J189" s="4"/>
    </row>
    <row r="190" spans="10:10" x14ac:dyDescent="0.3">
      <c r="J190" s="4"/>
    </row>
    <row r="191" spans="10:10" x14ac:dyDescent="0.3">
      <c r="J191" s="4"/>
    </row>
    <row r="192" spans="10:10" x14ac:dyDescent="0.3">
      <c r="J192" s="4"/>
    </row>
    <row r="193" spans="10:10" x14ac:dyDescent="0.3">
      <c r="J193" s="4"/>
    </row>
    <row r="194" spans="10:10" x14ac:dyDescent="0.3">
      <c r="J194" s="4"/>
    </row>
    <row r="195" spans="10:10" x14ac:dyDescent="0.3">
      <c r="J195" s="4"/>
    </row>
    <row r="196" spans="10:10" x14ac:dyDescent="0.3">
      <c r="J196" s="4"/>
    </row>
    <row r="197" spans="10:10" x14ac:dyDescent="0.3">
      <c r="J197" s="4"/>
    </row>
    <row r="198" spans="10:10" x14ac:dyDescent="0.3">
      <c r="J198" s="4"/>
    </row>
    <row r="199" spans="10:10" x14ac:dyDescent="0.3">
      <c r="J199" s="4"/>
    </row>
    <row r="200" spans="10:10" x14ac:dyDescent="0.3">
      <c r="J200" s="4"/>
    </row>
    <row r="201" spans="10:10" x14ac:dyDescent="0.3">
      <c r="J201" s="4"/>
    </row>
    <row r="202" spans="10:10" x14ac:dyDescent="0.3">
      <c r="J202" s="4"/>
    </row>
    <row r="203" spans="10:10" x14ac:dyDescent="0.3">
      <c r="J203" s="4"/>
    </row>
    <row r="204" spans="10:10" x14ac:dyDescent="0.3">
      <c r="J204" s="4"/>
    </row>
    <row r="205" spans="10:10" x14ac:dyDescent="0.3">
      <c r="J205" s="4"/>
    </row>
    <row r="206" spans="10:10" x14ac:dyDescent="0.3">
      <c r="J206" s="4"/>
    </row>
    <row r="207" spans="10:10" x14ac:dyDescent="0.3">
      <c r="J207" s="4"/>
    </row>
    <row r="208" spans="10:10" x14ac:dyDescent="0.3">
      <c r="J208" s="4"/>
    </row>
    <row r="209" spans="10:10" x14ac:dyDescent="0.3">
      <c r="J209" s="4"/>
    </row>
    <row r="210" spans="10:10" x14ac:dyDescent="0.3">
      <c r="J210" s="4"/>
    </row>
    <row r="211" spans="10:10" x14ac:dyDescent="0.3">
      <c r="J211" s="4"/>
    </row>
    <row r="212" spans="10:10" x14ac:dyDescent="0.3">
      <c r="J212" s="4"/>
    </row>
    <row r="213" spans="10:10" x14ac:dyDescent="0.3">
      <c r="J213" s="4"/>
    </row>
    <row r="214" spans="10:10" x14ac:dyDescent="0.3">
      <c r="J214" s="4"/>
    </row>
    <row r="215" spans="10:10" x14ac:dyDescent="0.3">
      <c r="J215" s="4"/>
    </row>
    <row r="216" spans="10:10" x14ac:dyDescent="0.3">
      <c r="J216" s="4"/>
    </row>
    <row r="217" spans="10:10" x14ac:dyDescent="0.3">
      <c r="J217" s="4"/>
    </row>
    <row r="218" spans="10:10" x14ac:dyDescent="0.3">
      <c r="J218" s="4"/>
    </row>
    <row r="219" spans="10:10" x14ac:dyDescent="0.3">
      <c r="J219" s="4"/>
    </row>
    <row r="220" spans="10:10" x14ac:dyDescent="0.3">
      <c r="J220" s="4"/>
    </row>
    <row r="221" spans="10:10" x14ac:dyDescent="0.3">
      <c r="J221" s="4"/>
    </row>
    <row r="222" spans="10:10" x14ac:dyDescent="0.3">
      <c r="J222" s="4"/>
    </row>
    <row r="223" spans="10:10" x14ac:dyDescent="0.3">
      <c r="J223" s="4"/>
    </row>
    <row r="224" spans="10:10" x14ac:dyDescent="0.3">
      <c r="J224" s="4"/>
    </row>
    <row r="225" spans="10:10" x14ac:dyDescent="0.3">
      <c r="J225" s="4"/>
    </row>
    <row r="226" spans="10:10" x14ac:dyDescent="0.3">
      <c r="J226" s="4"/>
    </row>
    <row r="227" spans="10:10" x14ac:dyDescent="0.3">
      <c r="J227" s="4"/>
    </row>
    <row r="228" spans="10:10" x14ac:dyDescent="0.3">
      <c r="J228" s="4"/>
    </row>
    <row r="229" spans="10:10" x14ac:dyDescent="0.3">
      <c r="J229" s="4"/>
    </row>
    <row r="230" spans="10:10" x14ac:dyDescent="0.3">
      <c r="J230" s="4"/>
    </row>
    <row r="231" spans="10:10" x14ac:dyDescent="0.3">
      <c r="J231" s="4"/>
    </row>
    <row r="232" spans="10:10" x14ac:dyDescent="0.3">
      <c r="J232" s="4"/>
    </row>
    <row r="233" spans="10:10" x14ac:dyDescent="0.3">
      <c r="J233" s="4"/>
    </row>
    <row r="234" spans="10:10" x14ac:dyDescent="0.3">
      <c r="J234" s="4"/>
    </row>
    <row r="235" spans="10:10" x14ac:dyDescent="0.3">
      <c r="J235" s="4"/>
    </row>
    <row r="236" spans="10:10" x14ac:dyDescent="0.3">
      <c r="J236" s="4"/>
    </row>
    <row r="237" spans="10:10" x14ac:dyDescent="0.3">
      <c r="J237" s="4"/>
    </row>
    <row r="238" spans="10:10" x14ac:dyDescent="0.3">
      <c r="J238" s="4"/>
    </row>
    <row r="239" spans="10:10" x14ac:dyDescent="0.3">
      <c r="J239" s="4"/>
    </row>
    <row r="240" spans="10:10" x14ac:dyDescent="0.3">
      <c r="J240" s="4"/>
    </row>
    <row r="241" spans="10:10" x14ac:dyDescent="0.3">
      <c r="J241" s="4"/>
    </row>
    <row r="242" spans="10:10" x14ac:dyDescent="0.3">
      <c r="J242" s="4"/>
    </row>
    <row r="243" spans="10:10" x14ac:dyDescent="0.3">
      <c r="J243" s="4"/>
    </row>
    <row r="244" spans="10:10" x14ac:dyDescent="0.3">
      <c r="J244" s="4"/>
    </row>
    <row r="245" spans="10:10" x14ac:dyDescent="0.3">
      <c r="J245" s="4"/>
    </row>
    <row r="246" spans="10:10" x14ac:dyDescent="0.3">
      <c r="J246" s="4"/>
    </row>
    <row r="247" spans="10:10" x14ac:dyDescent="0.3">
      <c r="J247" s="4"/>
    </row>
    <row r="248" spans="10:10" x14ac:dyDescent="0.3">
      <c r="J248" s="4"/>
    </row>
    <row r="249" spans="10:10" x14ac:dyDescent="0.3">
      <c r="J249" s="4"/>
    </row>
    <row r="250" spans="10:10" x14ac:dyDescent="0.3">
      <c r="J250" s="4"/>
    </row>
    <row r="251" spans="10:10" x14ac:dyDescent="0.3">
      <c r="J251" s="4"/>
    </row>
    <row r="252" spans="10:10" x14ac:dyDescent="0.3">
      <c r="J252" s="4"/>
    </row>
    <row r="253" spans="10:10" x14ac:dyDescent="0.3">
      <c r="J253" s="4"/>
    </row>
    <row r="254" spans="10:10" x14ac:dyDescent="0.3">
      <c r="J254" s="4"/>
    </row>
    <row r="255" spans="10:10" x14ac:dyDescent="0.3">
      <c r="J255" s="4"/>
    </row>
    <row r="256" spans="10:10" x14ac:dyDescent="0.3">
      <c r="J256" s="4"/>
    </row>
    <row r="257" spans="10:10" x14ac:dyDescent="0.3">
      <c r="J257" s="4"/>
    </row>
    <row r="258" spans="10:10" x14ac:dyDescent="0.3">
      <c r="J258" s="4"/>
    </row>
    <row r="259" spans="10:10" x14ac:dyDescent="0.3">
      <c r="J259" s="4"/>
    </row>
    <row r="260" spans="10:10" x14ac:dyDescent="0.3">
      <c r="J260" s="4"/>
    </row>
    <row r="261" spans="10:10" x14ac:dyDescent="0.3">
      <c r="J261" s="4"/>
    </row>
    <row r="262" spans="10:10" x14ac:dyDescent="0.3">
      <c r="J262" s="4"/>
    </row>
    <row r="263" spans="10:10" x14ac:dyDescent="0.3">
      <c r="J263" s="4"/>
    </row>
    <row r="264" spans="10:10" x14ac:dyDescent="0.3">
      <c r="J264" s="4"/>
    </row>
    <row r="265" spans="10:10" x14ac:dyDescent="0.3">
      <c r="J265" s="4"/>
    </row>
    <row r="266" spans="10:10" x14ac:dyDescent="0.3">
      <c r="J266" s="4"/>
    </row>
    <row r="267" spans="10:10" x14ac:dyDescent="0.3">
      <c r="J267" s="4"/>
    </row>
    <row r="268" spans="10:10" x14ac:dyDescent="0.3">
      <c r="J268" s="4"/>
    </row>
    <row r="269" spans="10:10" x14ac:dyDescent="0.3">
      <c r="J269" s="4"/>
    </row>
    <row r="270" spans="10:10" x14ac:dyDescent="0.3">
      <c r="J270" s="4"/>
    </row>
    <row r="271" spans="10:10" x14ac:dyDescent="0.3">
      <c r="J271" s="4"/>
    </row>
    <row r="272" spans="10:10" x14ac:dyDescent="0.3">
      <c r="J272" s="4"/>
    </row>
    <row r="273" spans="10:10" x14ac:dyDescent="0.3">
      <c r="J273" s="4"/>
    </row>
    <row r="274" spans="10:10" x14ac:dyDescent="0.3">
      <c r="J274" s="4"/>
    </row>
    <row r="275" spans="10:10" x14ac:dyDescent="0.3">
      <c r="J275" s="4"/>
    </row>
    <row r="276" spans="10:10" x14ac:dyDescent="0.3">
      <c r="J276" s="4"/>
    </row>
    <row r="277" spans="10:10" x14ac:dyDescent="0.3">
      <c r="J277" s="4"/>
    </row>
  </sheetData>
  <mergeCells count="14">
    <mergeCell ref="M2:R2"/>
    <mergeCell ref="K4:K5"/>
    <mergeCell ref="A5:C5"/>
    <mergeCell ref="G1:H1"/>
    <mergeCell ref="I1:J1"/>
    <mergeCell ref="G2:H2"/>
    <mergeCell ref="I2:J2"/>
    <mergeCell ref="G3:H3"/>
    <mergeCell ref="I3:J3"/>
    <mergeCell ref="D4:D5"/>
    <mergeCell ref="F4:F5"/>
    <mergeCell ref="G4:G5"/>
    <mergeCell ref="J4:J5"/>
    <mergeCell ref="A1:C1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500-000000000000}">
          <x14:formula1>
            <xm:f>Hilfstabelle!$Q$1:$Q$11</xm:f>
          </x14:formula1>
          <xm:sqref>O4</xm:sqref>
        </x14:dataValidation>
        <x14:dataValidation type="list" allowBlank="1" showInputMessage="1" showErrorMessage="1" xr:uid="{00000000-0002-0000-0500-000001000000}">
          <x14:formula1>
            <xm:f>Hilfstabelle!$P$1:$P$12</xm:f>
          </x14:formula1>
          <xm:sqref>N4</xm:sqref>
        </x14:dataValidation>
        <x14:dataValidation type="list" allowBlank="1" showInputMessage="1" showErrorMessage="1" xr:uid="{00000000-0002-0000-0500-000002000000}">
          <x14:formula1>
            <xm:f>Hilfstabelle!$O$1:$O$6</xm:f>
          </x14:formula1>
          <xm:sqref>M4</xm:sqref>
        </x14:dataValidation>
        <x14:dataValidation type="list" allowBlank="1" showInputMessage="1" showErrorMessage="1" xr:uid="{00000000-0002-0000-0500-000003000000}">
          <x14:formula1>
            <xm:f>Hilfstabelle!$R$1:$R$4</xm:f>
          </x14:formula1>
          <xm:sqref>P4</xm:sqref>
        </x14:dataValidation>
        <x14:dataValidation type="list" allowBlank="1" showInputMessage="1" showErrorMessage="1" xr:uid="{00000000-0002-0000-0500-000004000000}">
          <x14:formula1>
            <xm:f>Hilfstabelle!$S$1:$S$2</xm:f>
          </x14:formula1>
          <xm:sqref>Q4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31"/>
  <sheetViews>
    <sheetView workbookViewId="0">
      <selection activeCell="D39" sqref="D39"/>
    </sheetView>
  </sheetViews>
  <sheetFormatPr baseColWidth="10" defaultRowHeight="14.4" x14ac:dyDescent="0.3"/>
  <cols>
    <col min="1" max="3" width="5.33203125" customWidth="1"/>
    <col min="4" max="4" width="57.33203125" customWidth="1"/>
    <col min="5" max="5" width="47.6640625" customWidth="1"/>
    <col min="6" max="6" width="40.6640625" customWidth="1"/>
    <col min="7" max="9" width="11.6640625" customWidth="1"/>
    <col min="10" max="10" width="80.6640625" customWidth="1"/>
    <col min="11" max="11" width="8.5546875" hidden="1" customWidth="1"/>
    <col min="12" max="12" width="11.6640625" customWidth="1"/>
    <col min="13" max="18" width="16.6640625" customWidth="1"/>
  </cols>
  <sheetData>
    <row r="1" spans="1:18" x14ac:dyDescent="0.3">
      <c r="A1" s="34" t="str">
        <f>HYPERLINK("#Erläuterungen!A1","Erläuterungen")</f>
        <v>Erläuterungen</v>
      </c>
      <c r="B1" s="34"/>
      <c r="C1" s="34"/>
      <c r="G1" s="29" t="s">
        <v>1640</v>
      </c>
      <c r="H1" s="29"/>
      <c r="I1" s="29" t="s">
        <v>0</v>
      </c>
      <c r="J1" s="29"/>
    </row>
    <row r="2" spans="1:18" ht="21" x14ac:dyDescent="0.4">
      <c r="D2" s="25" t="s">
        <v>12</v>
      </c>
      <c r="F2" s="12" t="s">
        <v>1639</v>
      </c>
      <c r="G2" s="29">
        <v>9100</v>
      </c>
      <c r="H2" s="29"/>
      <c r="I2" s="29" t="str">
        <f>IF(G2&gt;0,VLOOKUP("F"&amp;G2,Hilfstabelle!A1:B451,2,FALSE),"")</f>
        <v>Zinsertrag aus Eigenkapital</v>
      </c>
      <c r="J2" s="29"/>
      <c r="M2" s="30" t="s">
        <v>2</v>
      </c>
      <c r="N2" s="30"/>
      <c r="O2" s="30"/>
      <c r="P2" s="30"/>
      <c r="Q2" s="30"/>
      <c r="R2" s="30"/>
    </row>
    <row r="3" spans="1:18" x14ac:dyDescent="0.3">
      <c r="C3" s="1"/>
      <c r="D3" s="1"/>
      <c r="E3" s="1"/>
      <c r="F3" s="12" t="s">
        <v>1638</v>
      </c>
      <c r="G3" s="29">
        <v>225</v>
      </c>
      <c r="H3" s="29"/>
      <c r="I3" s="29" t="str">
        <f>IF(G3&gt;0,VLOOKUP(G3,Hilfstabelle!F1:G548,2,FALSE),"")</f>
        <v>Gewinn</v>
      </c>
      <c r="J3" s="29"/>
      <c r="K3" s="1"/>
      <c r="L3" s="1"/>
      <c r="M3" s="1"/>
      <c r="N3" s="1"/>
      <c r="O3" s="1"/>
      <c r="P3" s="1"/>
      <c r="Q3" s="1"/>
      <c r="R3" s="1"/>
    </row>
    <row r="4" spans="1:18" x14ac:dyDescent="0.3">
      <c r="D4" s="31" t="s">
        <v>4</v>
      </c>
      <c r="E4" s="2"/>
      <c r="F4" s="31" t="s">
        <v>5</v>
      </c>
      <c r="G4" s="31" t="s">
        <v>6</v>
      </c>
      <c r="H4" s="2"/>
      <c r="I4" s="2"/>
      <c r="J4" s="31" t="s">
        <v>7</v>
      </c>
      <c r="K4" s="31" t="s">
        <v>8</v>
      </c>
      <c r="L4" s="2"/>
      <c r="M4" s="18" t="s">
        <v>185</v>
      </c>
      <c r="N4" s="18" t="s">
        <v>9</v>
      </c>
      <c r="O4" s="3" t="s">
        <v>10</v>
      </c>
      <c r="P4" s="3" t="s">
        <v>11</v>
      </c>
      <c r="Q4" s="18" t="s">
        <v>12</v>
      </c>
      <c r="R4" s="3" t="s">
        <v>13</v>
      </c>
    </row>
    <row r="5" spans="1:18" x14ac:dyDescent="0.3">
      <c r="A5" s="30" t="s">
        <v>3</v>
      </c>
      <c r="B5" s="30"/>
      <c r="C5" s="30"/>
      <c r="D5" s="31"/>
      <c r="E5" s="2" t="s">
        <v>14</v>
      </c>
      <c r="F5" s="31"/>
      <c r="G5" s="31"/>
      <c r="H5" s="2"/>
      <c r="I5" s="2" t="s">
        <v>15</v>
      </c>
      <c r="J5" s="31"/>
      <c r="K5" s="31"/>
      <c r="L5" s="2" t="s">
        <v>16</v>
      </c>
      <c r="M5" s="3" t="str">
        <f>IF(M4="Arbeitskräfte","1000",VLOOKUP(M4,Hilfstabelle!$B$1:$D$435,3,FALSE))</f>
        <v>1000</v>
      </c>
      <c r="N5" s="3" t="str">
        <f>IF(N4="Flächen","2000",VLOOKUP(N4,Hilfstabelle!$B$1:$D$435,3,FALSE))</f>
        <v>2000</v>
      </c>
      <c r="O5" s="3">
        <v>3000</v>
      </c>
      <c r="P5" s="3">
        <v>4000</v>
      </c>
      <c r="Q5" s="3" t="str">
        <f>IF(Q4="Vermögen","2000",VLOOKUP(Q4,Hilfstabelle!$B$1:$D$435,3,FALSE))</f>
        <v>2000</v>
      </c>
      <c r="R5" s="3">
        <v>6000</v>
      </c>
    </row>
    <row r="6" spans="1:18" x14ac:dyDescent="0.3">
      <c r="J6" s="4"/>
    </row>
    <row r="7" spans="1:18" x14ac:dyDescent="0.3">
      <c r="A7">
        <v>5000</v>
      </c>
      <c r="D7" t="s">
        <v>552</v>
      </c>
      <c r="E7" t="s">
        <v>552</v>
      </c>
      <c r="I7">
        <v>180</v>
      </c>
      <c r="J7" s="4"/>
      <c r="L7" t="s">
        <v>20</v>
      </c>
      <c r="M7" t="str">
        <f>IF($M$4="Arbeitskräfte","",IF($A7&gt;0,"F"&amp;$A7&amp;"_"&amp;$M$5,IF($B7&gt;0,"F"&amp;$B7&amp;"_"&amp;$M$5,"F"&amp;$C7&amp;"_"&amp;$M$5)))</f>
        <v/>
      </c>
      <c r="N7" t="str">
        <f>IF($N$4="Flächen","",IF($A7&gt;0,"F"&amp;$A7&amp;"_"&amp;$N$5,IF($B7&gt;0,"F"&amp;$B7&amp;"_"&amp;$N$5,"F"&amp;$C7&amp;"_"&amp;$N$5)))</f>
        <v/>
      </c>
    </row>
    <row r="8" spans="1:18" x14ac:dyDescent="0.3">
      <c r="B8">
        <v>5010</v>
      </c>
      <c r="D8" t="s">
        <v>553</v>
      </c>
      <c r="I8">
        <v>177</v>
      </c>
      <c r="J8" s="4"/>
      <c r="L8" t="s">
        <v>20</v>
      </c>
      <c r="M8" t="str">
        <f t="shared" ref="M8:M42" si="0">IF($M$4="Arbeitskräfte","",IF($A8&gt;0,"F"&amp;$A8&amp;"_"&amp;$M$5,IF($B8&gt;0,"F"&amp;$B8&amp;"_"&amp;$M$5,"F"&amp;$C8&amp;"_"&amp;$M$5)))</f>
        <v/>
      </c>
      <c r="N8" t="str">
        <f>IF($N$4="Flächen","",IF($A8&gt;0,"F"&amp;$A8&amp;"_"&amp;$N$5,IF($B8&gt;0,"F"&amp;$B8&amp;"_"&amp;$N$5,"F"&amp;$C8&amp;"_"&amp;$N$5)))</f>
        <v/>
      </c>
    </row>
    <row r="9" spans="1:18" x14ac:dyDescent="0.3">
      <c r="J9" s="4"/>
    </row>
    <row r="10" spans="1:18" x14ac:dyDescent="0.3">
      <c r="A10">
        <v>5100</v>
      </c>
      <c r="D10" t="s">
        <v>1821</v>
      </c>
      <c r="E10" t="s">
        <v>555</v>
      </c>
      <c r="F10" t="s">
        <v>554</v>
      </c>
      <c r="G10" s="5"/>
      <c r="J10" s="4" t="s">
        <v>556</v>
      </c>
      <c r="L10" t="s">
        <v>20</v>
      </c>
      <c r="M10" t="str">
        <f t="shared" si="0"/>
        <v/>
      </c>
      <c r="N10" t="str">
        <f t="shared" ref="N10:N64" si="1">IF($N$4="Flächen","",IF($A10&gt;0,"F"&amp;$A10&amp;"_"&amp;$N$5,IF($B10&gt;0,"F"&amp;$B10&amp;"_"&amp;$N$5,"F"&amp;$C10&amp;"_"&amp;$N$5)))</f>
        <v/>
      </c>
    </row>
    <row r="11" spans="1:18" x14ac:dyDescent="0.3">
      <c r="B11">
        <v>5110</v>
      </c>
      <c r="D11" t="s">
        <v>628</v>
      </c>
      <c r="E11" t="s">
        <v>629</v>
      </c>
      <c r="J11" s="4" t="s">
        <v>630</v>
      </c>
      <c r="L11" t="s">
        <v>20</v>
      </c>
      <c r="M11" t="str">
        <f t="shared" si="0"/>
        <v/>
      </c>
      <c r="N11" t="str">
        <f t="shared" si="1"/>
        <v/>
      </c>
    </row>
    <row r="12" spans="1:18" x14ac:dyDescent="0.3">
      <c r="B12">
        <v>5120</v>
      </c>
      <c r="D12" t="s">
        <v>559</v>
      </c>
      <c r="E12" t="s">
        <v>560</v>
      </c>
      <c r="F12" s="5"/>
      <c r="G12" s="5"/>
      <c r="J12" s="4" t="str">
        <f>VLOOKUP("Anlagevermögen ohne Boden",Hilfstabelle!C2:D451,2,FALSE)&amp;"+"&amp;VLOOKUP("Kalk. Bodenwert (betriebl.)",Hilfstabelle!C2:D451,2,FALSE)&amp;"+"&amp;VLOOKUP("Kalk. Umlaufvermögen",Hilfstabelle!C2:D451,2,FALSE)</f>
        <v>F5220+F5530+F5510</v>
      </c>
      <c r="L12" t="s">
        <v>20</v>
      </c>
      <c r="M12" t="str">
        <f t="shared" si="0"/>
        <v/>
      </c>
      <c r="N12" t="str">
        <f t="shared" si="1"/>
        <v/>
      </c>
    </row>
    <row r="13" spans="1:18" x14ac:dyDescent="0.3">
      <c r="B13">
        <v>5130</v>
      </c>
      <c r="D13" t="s">
        <v>557</v>
      </c>
      <c r="E13" t="s">
        <v>12</v>
      </c>
      <c r="F13" t="s">
        <v>1972</v>
      </c>
      <c r="G13" s="5"/>
      <c r="J13" s="4" t="str">
        <f>VLOOKUP("Anlagevermögen ohne Boden",Hilfstabelle!C2:D451,2,FALSE)&amp;"+"&amp;VLOOKUP("Kalk. Bodenwert",Hilfstabelle!C2:D451,2,FALSE)&amp;"+"&amp;VLOOKUP("Kalk. Umlaufvermögen",Hilfstabelle!C2:D451,2,FALSE)</f>
        <v>F5220+F5520+F5510</v>
      </c>
      <c r="L13" t="s">
        <v>20</v>
      </c>
      <c r="M13" t="str">
        <f t="shared" si="0"/>
        <v/>
      </c>
      <c r="N13" t="str">
        <f t="shared" si="1"/>
        <v/>
      </c>
    </row>
    <row r="14" spans="1:18" x14ac:dyDescent="0.3">
      <c r="C14">
        <v>5131</v>
      </c>
      <c r="D14" t="s">
        <v>558</v>
      </c>
      <c r="E14" t="s">
        <v>558</v>
      </c>
      <c r="F14" s="5"/>
      <c r="G14" s="5"/>
      <c r="J14" s="4" t="str">
        <f>VLOOKUP("Vermögen",Hilfstabelle!C2:D451,2,FALSE)&amp;"/!1000"</f>
        <v>F5130/!1000</v>
      </c>
      <c r="L14" t="s">
        <v>548</v>
      </c>
      <c r="M14" t="str">
        <f t="shared" si="0"/>
        <v/>
      </c>
      <c r="N14" t="str">
        <f t="shared" si="1"/>
        <v/>
      </c>
    </row>
    <row r="16" spans="1:18" x14ac:dyDescent="0.3">
      <c r="A16">
        <v>5200</v>
      </c>
      <c r="D16" t="s">
        <v>561</v>
      </c>
      <c r="E16" t="s">
        <v>562</v>
      </c>
      <c r="I16">
        <v>170</v>
      </c>
      <c r="J16" s="4" t="s">
        <v>563</v>
      </c>
      <c r="L16" t="s">
        <v>20</v>
      </c>
      <c r="M16" t="str">
        <f t="shared" si="0"/>
        <v/>
      </c>
      <c r="N16" t="str">
        <f t="shared" si="1"/>
        <v/>
      </c>
      <c r="Q16" t="str">
        <f>IF(OR($Q$4="Vermögen",$Q$4="Anlagevermögen ohne Boden",$Q$4="Vermögen laut Anfangsbilanz"),"",IF($A16&gt;0,"F"&amp;$A16&amp;"_"&amp;$Q$5,IF($B16&gt;0,"F"&amp;$B16&amp;"_"&amp;$Q$5,"F"&amp;$C16&amp;"_"&amp;$Q$5)))</f>
        <v/>
      </c>
    </row>
    <row r="17" spans="1:17" x14ac:dyDescent="0.3">
      <c r="B17">
        <v>5210</v>
      </c>
      <c r="D17" t="s">
        <v>564</v>
      </c>
      <c r="E17" t="s">
        <v>564</v>
      </c>
      <c r="J17" s="4" t="s">
        <v>565</v>
      </c>
      <c r="L17" t="s">
        <v>20</v>
      </c>
      <c r="M17" t="str">
        <f t="shared" si="0"/>
        <v/>
      </c>
      <c r="N17" t="str">
        <f t="shared" si="1"/>
        <v/>
      </c>
      <c r="Q17" t="str">
        <f t="shared" ref="Q17:Q21" si="2">IF(OR($Q$4="Vermögen",$Q$4="Anlagevermögen ohne Boden",$Q$4="Vermögen laut Anfangsbilanz"),"",IF($A17&gt;0,"F"&amp;$A17&amp;"_"&amp;$Q$5,IF($B17&gt;0,"F"&amp;$B17&amp;"_"&amp;$Q$5,"F"&amp;$C17&amp;"_"&amp;$Q$5)))</f>
        <v/>
      </c>
    </row>
    <row r="18" spans="1:17" x14ac:dyDescent="0.3">
      <c r="B18">
        <v>5220</v>
      </c>
      <c r="D18" t="s">
        <v>566</v>
      </c>
      <c r="E18" t="s">
        <v>566</v>
      </c>
      <c r="J18" s="4" t="s">
        <v>567</v>
      </c>
      <c r="L18" t="s">
        <v>20</v>
      </c>
      <c r="M18" t="str">
        <f t="shared" si="0"/>
        <v/>
      </c>
      <c r="N18" t="str">
        <f t="shared" si="1"/>
        <v/>
      </c>
      <c r="Q18" t="str">
        <f t="shared" si="2"/>
        <v/>
      </c>
    </row>
    <row r="19" spans="1:17" x14ac:dyDescent="0.3">
      <c r="B19">
        <v>5230</v>
      </c>
      <c r="D19" t="s">
        <v>568</v>
      </c>
      <c r="E19" t="s">
        <v>569</v>
      </c>
      <c r="J19" s="4" t="s">
        <v>570</v>
      </c>
      <c r="L19" t="s">
        <v>20</v>
      </c>
      <c r="M19" t="str">
        <f t="shared" si="0"/>
        <v/>
      </c>
      <c r="N19" t="str">
        <f t="shared" si="1"/>
        <v/>
      </c>
      <c r="Q19" t="str">
        <f t="shared" si="2"/>
        <v/>
      </c>
    </row>
    <row r="20" spans="1:17" x14ac:dyDescent="0.3">
      <c r="B20">
        <v>5240</v>
      </c>
      <c r="D20" t="s">
        <v>571</v>
      </c>
      <c r="E20" t="s">
        <v>571</v>
      </c>
      <c r="J20" s="4" t="s">
        <v>572</v>
      </c>
      <c r="L20" t="s">
        <v>20</v>
      </c>
      <c r="M20" t="str">
        <f t="shared" si="0"/>
        <v/>
      </c>
      <c r="N20" t="str">
        <f t="shared" si="1"/>
        <v/>
      </c>
      <c r="Q20" t="str">
        <f t="shared" si="2"/>
        <v/>
      </c>
    </row>
    <row r="21" spans="1:17" x14ac:dyDescent="0.3">
      <c r="B21">
        <v>5250</v>
      </c>
      <c r="D21" t="s">
        <v>573</v>
      </c>
      <c r="E21" t="s">
        <v>573</v>
      </c>
      <c r="J21" s="4" t="s">
        <v>574</v>
      </c>
      <c r="L21" t="s">
        <v>20</v>
      </c>
      <c r="M21" t="str">
        <f t="shared" si="0"/>
        <v/>
      </c>
      <c r="N21" t="str">
        <f t="shared" si="1"/>
        <v/>
      </c>
      <c r="Q21" t="str">
        <f t="shared" si="2"/>
        <v/>
      </c>
    </row>
    <row r="22" spans="1:17" x14ac:dyDescent="0.3">
      <c r="C22">
        <v>5251</v>
      </c>
      <c r="D22" t="s">
        <v>575</v>
      </c>
      <c r="I22">
        <v>161</v>
      </c>
      <c r="J22" s="4"/>
      <c r="L22" t="s">
        <v>20</v>
      </c>
      <c r="M22" t="str">
        <f t="shared" si="0"/>
        <v/>
      </c>
      <c r="N22" t="str">
        <f t="shared" si="1"/>
        <v/>
      </c>
      <c r="Q22" t="str">
        <f>IF(OR($Q$4="Vermögen",$Q$4="Anlagevermögen ohne Boden",$Q$4="Vermögen laut Anfangsbilanz"),"",IF($A22&gt;0,"F"&amp;$A22&amp;"_"&amp;$Q$5,IF($B22&gt;0,"F"&amp;$B22&amp;"_"&amp;$Q$5,"F"&amp;$C22&amp;"_"&amp;$Q$5)))</f>
        <v/>
      </c>
    </row>
    <row r="23" spans="1:17" x14ac:dyDescent="0.3">
      <c r="C23">
        <v>5252</v>
      </c>
      <c r="D23" t="s">
        <v>464</v>
      </c>
      <c r="I23">
        <v>162</v>
      </c>
      <c r="J23" s="4"/>
      <c r="L23" t="s">
        <v>20</v>
      </c>
      <c r="M23" t="str">
        <f t="shared" si="0"/>
        <v/>
      </c>
      <c r="N23" t="str">
        <f t="shared" si="1"/>
        <v/>
      </c>
      <c r="Q23" t="str">
        <f>IF(OR($Q$4="Vermögen",$Q$4="Vermögen laut Anfangsbilanz"),"",IF($A23&gt;0,"F"&amp;$A23&amp;"_"&amp;$Q$5,IF($B23&gt;0,"F"&amp;$B23&amp;"_"&amp;$Q$5,"F"&amp;$C23&amp;"_"&amp;$Q$5)))</f>
        <v/>
      </c>
    </row>
    <row r="24" spans="1:17" x14ac:dyDescent="0.3">
      <c r="C24">
        <v>5253</v>
      </c>
      <c r="D24" t="s">
        <v>576</v>
      </c>
      <c r="E24" t="s">
        <v>577</v>
      </c>
      <c r="I24">
        <v>163</v>
      </c>
      <c r="J24" s="4"/>
      <c r="L24" t="s">
        <v>20</v>
      </c>
      <c r="M24" t="str">
        <f t="shared" si="0"/>
        <v/>
      </c>
      <c r="N24" t="str">
        <f t="shared" si="1"/>
        <v/>
      </c>
      <c r="Q24" t="str">
        <f t="shared" ref="Q24:Q28" si="3">IF(OR($Q$4="Vermögen",$Q$4="Vermögen laut Anfangsbilanz"),"",IF($A24&gt;0,"F"&amp;$A24&amp;"_"&amp;$Q$5,IF($B24&gt;0,"F"&amp;$B24&amp;"_"&amp;$Q$5,"F"&amp;$C24&amp;"_"&amp;$Q$5)))</f>
        <v/>
      </c>
    </row>
    <row r="25" spans="1:17" x14ac:dyDescent="0.3">
      <c r="C25">
        <v>5254</v>
      </c>
      <c r="D25" t="s">
        <v>578</v>
      </c>
      <c r="E25" t="s">
        <v>579</v>
      </c>
      <c r="I25">
        <v>165</v>
      </c>
      <c r="J25" s="4"/>
      <c r="L25" t="s">
        <v>20</v>
      </c>
      <c r="M25" t="str">
        <f t="shared" si="0"/>
        <v/>
      </c>
      <c r="N25" t="str">
        <f t="shared" si="1"/>
        <v/>
      </c>
      <c r="Q25" t="str">
        <f t="shared" si="3"/>
        <v/>
      </c>
    </row>
    <row r="26" spans="1:17" x14ac:dyDescent="0.3">
      <c r="C26">
        <v>5255</v>
      </c>
      <c r="D26" t="s">
        <v>580</v>
      </c>
      <c r="E26" t="s">
        <v>581</v>
      </c>
      <c r="I26">
        <v>166</v>
      </c>
      <c r="J26" s="4"/>
      <c r="L26" t="s">
        <v>20</v>
      </c>
      <c r="M26" t="str">
        <f t="shared" si="0"/>
        <v/>
      </c>
      <c r="N26" t="str">
        <f t="shared" si="1"/>
        <v/>
      </c>
      <c r="Q26" t="str">
        <f t="shared" si="3"/>
        <v/>
      </c>
    </row>
    <row r="27" spans="1:17" x14ac:dyDescent="0.3">
      <c r="C27">
        <v>5256</v>
      </c>
      <c r="D27" t="s">
        <v>582</v>
      </c>
      <c r="E27" t="s">
        <v>583</v>
      </c>
      <c r="I27">
        <v>167</v>
      </c>
      <c r="J27" s="4"/>
      <c r="L27" t="s">
        <v>20</v>
      </c>
      <c r="M27" t="str">
        <f t="shared" si="0"/>
        <v/>
      </c>
      <c r="N27" t="str">
        <f t="shared" si="1"/>
        <v/>
      </c>
      <c r="Q27" t="str">
        <f t="shared" si="3"/>
        <v/>
      </c>
    </row>
    <row r="28" spans="1:17" x14ac:dyDescent="0.3">
      <c r="C28">
        <v>5257</v>
      </c>
      <c r="D28" t="s">
        <v>584</v>
      </c>
      <c r="E28" t="s">
        <v>585</v>
      </c>
      <c r="I28">
        <v>168</v>
      </c>
      <c r="J28" s="4"/>
      <c r="L28" t="s">
        <v>20</v>
      </c>
      <c r="M28" t="str">
        <f t="shared" si="0"/>
        <v/>
      </c>
      <c r="N28" t="str">
        <f t="shared" si="1"/>
        <v/>
      </c>
      <c r="Q28" t="str">
        <f t="shared" si="3"/>
        <v/>
      </c>
    </row>
    <row r="30" spans="1:17" x14ac:dyDescent="0.3">
      <c r="J30" s="4"/>
    </row>
    <row r="31" spans="1:17" x14ac:dyDescent="0.3">
      <c r="A31">
        <v>5300</v>
      </c>
      <c r="D31" t="s">
        <v>2094</v>
      </c>
      <c r="E31" t="s">
        <v>586</v>
      </c>
      <c r="F31" t="s">
        <v>587</v>
      </c>
      <c r="J31" t="s">
        <v>588</v>
      </c>
      <c r="L31" t="s">
        <v>20</v>
      </c>
      <c r="M31" t="str">
        <f t="shared" si="0"/>
        <v/>
      </c>
      <c r="N31" t="str">
        <f t="shared" si="1"/>
        <v/>
      </c>
      <c r="Q31" t="str">
        <f>IF(OR($Q$4="Vermögen",$Q$4="Anlagevermögen ohne Boden",$Q$4="Vermögen laut Anfangsbilanz"),"",IF($A31&gt;0,"F"&amp;$A31&amp;"_"&amp;$Q$5,IF($B31&gt;0,"F"&amp;$B31&amp;"_"&amp;$Q$5,"F"&amp;$C31&amp;"_"&amp;$Q$5)))</f>
        <v/>
      </c>
    </row>
    <row r="32" spans="1:17" x14ac:dyDescent="0.3">
      <c r="B32">
        <v>5310</v>
      </c>
      <c r="D32" t="s">
        <v>625</v>
      </c>
      <c r="E32" t="s">
        <v>626</v>
      </c>
      <c r="J32" s="4" t="s">
        <v>627</v>
      </c>
      <c r="L32" t="s">
        <v>20</v>
      </c>
      <c r="M32" t="str">
        <f t="shared" si="0"/>
        <v/>
      </c>
      <c r="N32" t="str">
        <f t="shared" si="1"/>
        <v/>
      </c>
      <c r="Q32" t="str">
        <f t="shared" ref="Q32:Q39" si="4">IF(OR($Q$4="Vermögen",$Q$4="Anlagevermögen ohne Boden",$Q$4="Vermögen laut Anfangsbilanz"),"",IF($A32&gt;0,"F"&amp;$A32&amp;"_"&amp;$Q$5,IF($B32&gt;0,"F"&amp;$B32&amp;"_"&amp;$Q$5,"F"&amp;$C32&amp;"_"&amp;$Q$5)))</f>
        <v/>
      </c>
    </row>
    <row r="33" spans="1:17" x14ac:dyDescent="0.3">
      <c r="B33">
        <v>5320</v>
      </c>
      <c r="D33" t="s">
        <v>589</v>
      </c>
      <c r="E33" t="s">
        <v>589</v>
      </c>
      <c r="J33" s="4" t="s">
        <v>590</v>
      </c>
      <c r="L33" t="s">
        <v>20</v>
      </c>
      <c r="M33" t="str">
        <f t="shared" si="0"/>
        <v/>
      </c>
      <c r="N33" t="str">
        <f t="shared" si="1"/>
        <v/>
      </c>
      <c r="Q33" t="str">
        <f t="shared" si="4"/>
        <v/>
      </c>
    </row>
    <row r="34" spans="1:17" x14ac:dyDescent="0.3">
      <c r="B34">
        <v>5330</v>
      </c>
      <c r="D34" t="s">
        <v>593</v>
      </c>
      <c r="J34" s="4" t="s">
        <v>594</v>
      </c>
      <c r="L34" t="s">
        <v>20</v>
      </c>
      <c r="M34" t="str">
        <f t="shared" si="0"/>
        <v/>
      </c>
      <c r="N34" t="str">
        <f t="shared" si="1"/>
        <v/>
      </c>
      <c r="Q34" t="str">
        <f t="shared" si="4"/>
        <v/>
      </c>
    </row>
    <row r="35" spans="1:17" x14ac:dyDescent="0.3">
      <c r="C35">
        <v>5331</v>
      </c>
      <c r="D35" t="s">
        <v>591</v>
      </c>
      <c r="E35" t="s">
        <v>591</v>
      </c>
      <c r="I35">
        <v>172</v>
      </c>
      <c r="L35" t="s">
        <v>20</v>
      </c>
      <c r="M35" t="str">
        <f t="shared" si="0"/>
        <v/>
      </c>
      <c r="N35" t="str">
        <f t="shared" si="1"/>
        <v/>
      </c>
      <c r="Q35" t="str">
        <f t="shared" si="4"/>
        <v/>
      </c>
    </row>
    <row r="36" spans="1:17" x14ac:dyDescent="0.3">
      <c r="C36">
        <v>5332</v>
      </c>
      <c r="D36" t="s">
        <v>592</v>
      </c>
      <c r="E36" t="s">
        <v>592</v>
      </c>
      <c r="I36">
        <v>173</v>
      </c>
      <c r="L36" t="s">
        <v>20</v>
      </c>
      <c r="M36" t="str">
        <f t="shared" si="0"/>
        <v/>
      </c>
      <c r="N36" t="str">
        <f t="shared" si="1"/>
        <v/>
      </c>
      <c r="Q36" t="str">
        <f t="shared" si="4"/>
        <v/>
      </c>
    </row>
    <row r="37" spans="1:17" x14ac:dyDescent="0.3">
      <c r="C37">
        <v>5333</v>
      </c>
      <c r="D37" t="s">
        <v>595</v>
      </c>
      <c r="E37" t="s">
        <v>596</v>
      </c>
      <c r="I37">
        <v>174</v>
      </c>
      <c r="J37" s="4"/>
      <c r="L37" t="s">
        <v>20</v>
      </c>
      <c r="M37" t="str">
        <f t="shared" si="0"/>
        <v/>
      </c>
      <c r="N37" t="str">
        <f t="shared" si="1"/>
        <v/>
      </c>
      <c r="Q37" t="str">
        <f t="shared" si="4"/>
        <v/>
      </c>
    </row>
    <row r="38" spans="1:17" x14ac:dyDescent="0.3">
      <c r="C38">
        <v>5334</v>
      </c>
      <c r="D38" t="s">
        <v>2163</v>
      </c>
      <c r="E38" t="s">
        <v>598</v>
      </c>
      <c r="I38">
        <v>175</v>
      </c>
      <c r="L38" t="s">
        <v>20</v>
      </c>
      <c r="M38" t="str">
        <f t="shared" si="0"/>
        <v/>
      </c>
      <c r="N38" t="str">
        <f t="shared" si="1"/>
        <v/>
      </c>
      <c r="Q38" t="str">
        <f t="shared" si="4"/>
        <v/>
      </c>
    </row>
    <row r="39" spans="1:17" x14ac:dyDescent="0.3">
      <c r="C39">
        <v>5335</v>
      </c>
      <c r="D39" t="s">
        <v>599</v>
      </c>
      <c r="E39" t="s">
        <v>600</v>
      </c>
      <c r="I39">
        <v>176</v>
      </c>
      <c r="J39" s="4"/>
      <c r="L39" t="s">
        <v>20</v>
      </c>
      <c r="M39" t="str">
        <f t="shared" si="0"/>
        <v/>
      </c>
      <c r="N39" t="str">
        <f t="shared" si="1"/>
        <v/>
      </c>
      <c r="Q39" t="str">
        <f t="shared" si="4"/>
        <v/>
      </c>
    </row>
    <row r="41" spans="1:17" x14ac:dyDescent="0.3">
      <c r="A41">
        <v>5400</v>
      </c>
      <c r="D41" t="s">
        <v>616</v>
      </c>
      <c r="E41" t="s">
        <v>617</v>
      </c>
      <c r="J41" s="4" t="s">
        <v>618</v>
      </c>
      <c r="L41" t="s">
        <v>20</v>
      </c>
      <c r="M41" t="str">
        <f t="shared" si="0"/>
        <v/>
      </c>
      <c r="N41" t="str">
        <f t="shared" si="1"/>
        <v/>
      </c>
      <c r="Q41" t="str">
        <f>IF(OR($Q$4="Vermögen",$Q$4="Vermögen laut Anfangsbilanz"),"",IF($A41&gt;0,"F"&amp;$A41&amp;"_"&amp;$Q$5,IF($B41&gt;0,"F"&amp;$B41&amp;"_"&amp;$Q$5,"F"&amp;$C41&amp;"_"&amp;$Q$5)))</f>
        <v/>
      </c>
    </row>
    <row r="42" spans="1:17" x14ac:dyDescent="0.3">
      <c r="C42">
        <v>5401</v>
      </c>
      <c r="D42" t="s">
        <v>614</v>
      </c>
      <c r="E42" t="s">
        <v>614</v>
      </c>
      <c r="J42" s="4" t="s">
        <v>615</v>
      </c>
      <c r="L42" t="s">
        <v>20</v>
      </c>
      <c r="M42" t="str">
        <f t="shared" si="0"/>
        <v/>
      </c>
      <c r="N42" t="str">
        <f t="shared" si="1"/>
        <v/>
      </c>
      <c r="Q42" t="str">
        <f>IF(OR($Q$4="Vermögen",$Q$4="Vermögen laut Anfangsbilanz"),"",IF($A42&gt;0,"F"&amp;$A42&amp;"_"&amp;$Q$5,IF($B42&gt;0,"F"&amp;$B42&amp;"_"&amp;$Q$5,"F"&amp;$C42&amp;"_"&amp;$Q$5)))</f>
        <v/>
      </c>
    </row>
    <row r="44" spans="1:17" x14ac:dyDescent="0.3">
      <c r="B44">
        <v>5410</v>
      </c>
      <c r="D44" t="s">
        <v>1940</v>
      </c>
      <c r="J44" s="4" t="s">
        <v>601</v>
      </c>
      <c r="L44" t="s">
        <v>20</v>
      </c>
      <c r="Q44" t="str">
        <f>IF(OR($Q$4="Vermögen",$Q$4="Anlagevermögen ohne Boden",$Q$4="Vermögen (betriebsw.)"),"",IF($A44&gt;0,"F"&amp;$A44&amp;"_"&amp;$Q$5,IF($B44&gt;0,"F"&amp;$B44&amp;"_"&amp;$Q$5,"F"&amp;$C44&amp;"_"&amp;$Q$5)))</f>
        <v/>
      </c>
    </row>
    <row r="45" spans="1:17" x14ac:dyDescent="0.3">
      <c r="C45">
        <v>5411</v>
      </c>
      <c r="D45" t="s">
        <v>602</v>
      </c>
      <c r="J45" s="4" t="s">
        <v>603</v>
      </c>
      <c r="L45" t="s">
        <v>20</v>
      </c>
      <c r="Q45" t="str">
        <f t="shared" ref="Q45:Q54" si="5">IF(OR($Q$4="Vermögen",$Q$4="Anlagevermögen ohne Boden",$Q$4="Vermögen (betriebsw.)"),"",IF($A45&gt;0,"F"&amp;$A45&amp;"_"&amp;$Q$5,IF($B45&gt;0,"F"&amp;$B45&amp;"_"&amp;$Q$5,"F"&amp;$C45&amp;"_"&amp;$Q$5)))</f>
        <v/>
      </c>
    </row>
    <row r="46" spans="1:17" x14ac:dyDescent="0.3">
      <c r="C46">
        <v>5412</v>
      </c>
      <c r="D46" t="s">
        <v>604</v>
      </c>
      <c r="J46" s="4" t="s">
        <v>605</v>
      </c>
      <c r="L46" t="s">
        <v>20</v>
      </c>
      <c r="Q46" t="str">
        <f t="shared" si="5"/>
        <v/>
      </c>
    </row>
    <row r="47" spans="1:17" x14ac:dyDescent="0.3">
      <c r="C47">
        <v>5413</v>
      </c>
      <c r="D47" t="s">
        <v>606</v>
      </c>
      <c r="J47" s="4" t="s">
        <v>607</v>
      </c>
      <c r="L47" t="s">
        <v>20</v>
      </c>
      <c r="Q47" t="str">
        <f t="shared" si="5"/>
        <v/>
      </c>
    </row>
    <row r="48" spans="1:17" x14ac:dyDescent="0.3">
      <c r="C48">
        <v>5414</v>
      </c>
      <c r="D48" t="s">
        <v>608</v>
      </c>
      <c r="J48" s="4" t="s">
        <v>609</v>
      </c>
      <c r="L48" t="s">
        <v>20</v>
      </c>
      <c r="Q48" t="str">
        <f t="shared" si="5"/>
        <v/>
      </c>
    </row>
    <row r="49" spans="2:17" x14ac:dyDescent="0.3">
      <c r="C49">
        <v>5415</v>
      </c>
      <c r="D49" t="s">
        <v>610</v>
      </c>
      <c r="J49" s="4" t="s">
        <v>611</v>
      </c>
      <c r="L49" t="s">
        <v>20</v>
      </c>
      <c r="Q49" t="str">
        <f t="shared" si="5"/>
        <v/>
      </c>
    </row>
    <row r="50" spans="2:17" x14ac:dyDescent="0.3">
      <c r="C50">
        <v>5416</v>
      </c>
      <c r="D50" t="s">
        <v>612</v>
      </c>
      <c r="J50" s="4" t="s">
        <v>613</v>
      </c>
      <c r="L50" t="s">
        <v>20</v>
      </c>
      <c r="Q50" t="str">
        <f t="shared" si="5"/>
        <v/>
      </c>
    </row>
    <row r="52" spans="2:17" x14ac:dyDescent="0.3">
      <c r="B52">
        <v>5420</v>
      </c>
      <c r="D52" t="s">
        <v>619</v>
      </c>
      <c r="J52" s="4" t="s">
        <v>620</v>
      </c>
      <c r="L52" t="s">
        <v>20</v>
      </c>
      <c r="Q52" t="str">
        <f t="shared" si="5"/>
        <v/>
      </c>
    </row>
    <row r="53" spans="2:17" x14ac:dyDescent="0.3">
      <c r="C53">
        <v>5421</v>
      </c>
      <c r="D53" t="s">
        <v>621</v>
      </c>
      <c r="J53" s="4" t="s">
        <v>622</v>
      </c>
      <c r="L53" t="s">
        <v>20</v>
      </c>
      <c r="Q53" t="str">
        <f t="shared" si="5"/>
        <v/>
      </c>
    </row>
    <row r="54" spans="2:17" x14ac:dyDescent="0.3">
      <c r="C54">
        <v>5422</v>
      </c>
      <c r="D54" t="s">
        <v>623</v>
      </c>
      <c r="J54" s="4" t="s">
        <v>624</v>
      </c>
      <c r="L54" t="s">
        <v>20</v>
      </c>
      <c r="Q54" t="str">
        <f t="shared" si="5"/>
        <v/>
      </c>
    </row>
    <row r="57" spans="2:17" x14ac:dyDescent="0.3">
      <c r="D57" s="1" t="s">
        <v>1668</v>
      </c>
    </row>
    <row r="58" spans="2:17" x14ac:dyDescent="0.3">
      <c r="B58">
        <v>5510</v>
      </c>
      <c r="D58" t="s">
        <v>635</v>
      </c>
      <c r="E58" t="s">
        <v>636</v>
      </c>
      <c r="I58">
        <v>51</v>
      </c>
      <c r="J58" s="4"/>
      <c r="L58" t="s">
        <v>20</v>
      </c>
      <c r="M58" t="str">
        <f t="shared" ref="M58:M64" si="6">IF($M$4="Arbeitskräfte","",IF($A58&gt;0,"F"&amp;$A58&amp;"_"&amp;$M$5,IF($B58&gt;0,"F"&amp;$B58&amp;"_"&amp;$M$5,"F"&amp;$C58&amp;"_"&amp;$M$5)))</f>
        <v/>
      </c>
      <c r="N58" t="str">
        <f t="shared" si="1"/>
        <v/>
      </c>
      <c r="Q58" t="str">
        <f>IF(OR($Q$4="Vermögen",$Q$4="Anlagevermögen ohne Boden",$Q$4="Vermögen laut Anfangsbilanz"),"",IF($A58&gt;0,"F"&amp;$A58&amp;"_"&amp;$Q$5,IF($B58&gt;0,"F"&amp;$B58&amp;"_"&amp;$Q$5,"F"&amp;$C58&amp;"_"&amp;$Q$5)))</f>
        <v/>
      </c>
    </row>
    <row r="59" spans="2:17" x14ac:dyDescent="0.3">
      <c r="B59">
        <v>5520</v>
      </c>
      <c r="D59" t="s">
        <v>631</v>
      </c>
      <c r="E59" t="s">
        <v>632</v>
      </c>
      <c r="F59" t="s">
        <v>575</v>
      </c>
      <c r="J59" s="4" t="str">
        <f>VLOOKUP("Eigentumsfläche",Hilfstabelle!C2:D451,2,FALSE)&amp;"*"&amp;VLOOKUP("KalkBodenWert_QM",Hilfstabelle!C2:D451,2,FALSE)</f>
        <v>F2100*F5920</v>
      </c>
      <c r="L59" t="s">
        <v>20</v>
      </c>
      <c r="M59" t="str">
        <f t="shared" si="6"/>
        <v/>
      </c>
      <c r="N59" t="str">
        <f t="shared" si="1"/>
        <v/>
      </c>
      <c r="Q59" t="str">
        <f t="shared" ref="Q59:Q64" si="7">IF(OR($Q$4="Vermögen",$Q$4="Anlagevermögen ohne Boden",$Q$4="Vermögen laut Anfangsbilanz"),"",IF($A59&gt;0,"F"&amp;$A59&amp;"_"&amp;$Q$5,IF($B59&gt;0,"F"&amp;$B59&amp;"_"&amp;$Q$5,"F"&amp;$C59&amp;"_"&amp;$Q$5)))</f>
        <v/>
      </c>
    </row>
    <row r="60" spans="2:17" x14ac:dyDescent="0.3">
      <c r="B60">
        <v>5530</v>
      </c>
      <c r="D60" t="s">
        <v>641</v>
      </c>
      <c r="E60" t="s">
        <v>642</v>
      </c>
      <c r="J60" s="4" t="str">
        <f>VLOOKUP("Betriebsfläche",Hilfstabelle!C2:D451,2,FALSE)&amp;"*"&amp;VLOOKUP("KalkBodenWert_QM",Hilfstabelle!C2:D451,2,FALSE)</f>
        <v>F2000*F5920</v>
      </c>
      <c r="L60" t="s">
        <v>20</v>
      </c>
      <c r="M60" t="str">
        <f t="shared" si="6"/>
        <v/>
      </c>
      <c r="N60" t="str">
        <f t="shared" si="1"/>
        <v/>
      </c>
      <c r="Q60" t="str">
        <f t="shared" si="7"/>
        <v/>
      </c>
    </row>
    <row r="61" spans="2:17" x14ac:dyDescent="0.3">
      <c r="J61" s="9"/>
    </row>
    <row r="62" spans="2:17" x14ac:dyDescent="0.3">
      <c r="B62">
        <v>5540</v>
      </c>
      <c r="D62" t="s">
        <v>646</v>
      </c>
      <c r="E62" t="s">
        <v>647</v>
      </c>
      <c r="J62" s="4" t="str">
        <f>"("&amp;VLOOKUP("Anlagevermögen ohne Boden",Hilfstabelle!C2:D451,2,FALSE)&amp;"+"&amp;VLOOKUP("Kalk. Umlaufvermögen",Hilfstabelle!C2:D451,2,FALSE)&amp;")*"&amp;VLOOKUP("kalkZins_EK",Hilfstabelle!C2:D451,2,FALSE)&amp;"+"&amp;VLOOKUP("Kalk. Bodenwert",Hilfstabelle!C2:D451,2,FALSE)&amp;"*"&amp;VLOOKUP("kalkZins_EK",Hilfstabelle!C2:D451,2,FALSE)&amp;"/!2"</f>
        <v>(F5220+F5510)*F5910+F5520*F5910/!2</v>
      </c>
      <c r="L62" t="s">
        <v>20</v>
      </c>
      <c r="M62" t="str">
        <f t="shared" si="6"/>
        <v/>
      </c>
      <c r="N62" t="str">
        <f t="shared" si="1"/>
        <v/>
      </c>
      <c r="Q62" t="str">
        <f t="shared" si="7"/>
        <v/>
      </c>
    </row>
    <row r="63" spans="2:17" x14ac:dyDescent="0.3">
      <c r="B63">
        <v>5550</v>
      </c>
      <c r="D63" t="s">
        <v>643</v>
      </c>
      <c r="E63" t="s">
        <v>1123</v>
      </c>
      <c r="F63" t="s">
        <v>644</v>
      </c>
      <c r="J63" s="4" t="str">
        <f>"("&amp;VLOOKUP("Anlagevermögen ohne Boden",Hilfstabelle!C2:D451,2,FALSE)&amp;"+"&amp;VLOOKUP("Kalk. Umlaufvermögen",Hilfstabelle!C2:D451,2,FALSE)&amp;")*"&amp;VLOOKUP("kalkZins_EK",Hilfstabelle!C2:D451,2,FALSE)&amp;"+"&amp;VLOOKUP("Kalk. Bodenwert (betriebl.)",Hilfstabelle!C2:D451,2,FALSE)&amp;"*"&amp;VLOOKUP("kalkZins_EK",Hilfstabelle!C2:D451,2,FALSE)&amp;"/!2"</f>
        <v>(F5220+F5510)*F5910+F5530*F5910/!2</v>
      </c>
      <c r="L63" t="s">
        <v>20</v>
      </c>
      <c r="M63" t="str">
        <f t="shared" si="6"/>
        <v/>
      </c>
      <c r="N63" t="str">
        <f t="shared" si="1"/>
        <v/>
      </c>
      <c r="Q63" t="str">
        <f t="shared" si="7"/>
        <v/>
      </c>
    </row>
    <row r="64" spans="2:17" x14ac:dyDescent="0.3">
      <c r="B64">
        <v>5560</v>
      </c>
      <c r="D64" t="s">
        <v>648</v>
      </c>
      <c r="E64" t="s">
        <v>649</v>
      </c>
      <c r="J64" s="4" t="str">
        <f>VLOOKUP("Vermögen",Hilfstabelle!C2:D451,2,FALSE)&amp;"*"&amp;VLOOKUP("kalkZins_EK",Hilfstabelle!C2:D451,2,FALSE)</f>
        <v>F5130*F5910</v>
      </c>
      <c r="L64" t="s">
        <v>20</v>
      </c>
      <c r="M64" t="str">
        <f t="shared" si="6"/>
        <v/>
      </c>
      <c r="N64" t="str">
        <f t="shared" si="1"/>
        <v/>
      </c>
      <c r="Q64" t="str">
        <f t="shared" si="7"/>
        <v/>
      </c>
    </row>
    <row r="69" spans="2:10" x14ac:dyDescent="0.3">
      <c r="D69" t="s">
        <v>637</v>
      </c>
      <c r="J69" s="4"/>
    </row>
    <row r="70" spans="2:10" x14ac:dyDescent="0.3">
      <c r="D70" t="s">
        <v>638</v>
      </c>
      <c r="J70" s="9"/>
    </row>
    <row r="71" spans="2:10" x14ac:dyDescent="0.3">
      <c r="D71" t="s">
        <v>639</v>
      </c>
      <c r="J71" s="4"/>
    </row>
    <row r="72" spans="2:10" x14ac:dyDescent="0.3">
      <c r="D72" t="s">
        <v>640</v>
      </c>
      <c r="J72" s="4"/>
    </row>
    <row r="74" spans="2:10" x14ac:dyDescent="0.3">
      <c r="D74" s="1" t="s">
        <v>650</v>
      </c>
    </row>
    <row r="75" spans="2:10" x14ac:dyDescent="0.3">
      <c r="B75">
        <v>5910</v>
      </c>
      <c r="D75" t="s">
        <v>525</v>
      </c>
      <c r="E75" t="s">
        <v>645</v>
      </c>
      <c r="G75" t="s">
        <v>1930</v>
      </c>
      <c r="H75">
        <v>0.06</v>
      </c>
      <c r="J75" s="4"/>
    </row>
    <row r="76" spans="2:10" x14ac:dyDescent="0.3">
      <c r="B76">
        <v>5920</v>
      </c>
      <c r="D76" t="s">
        <v>633</v>
      </c>
      <c r="E76" t="s">
        <v>634</v>
      </c>
      <c r="G76" t="s">
        <v>1932</v>
      </c>
      <c r="H76">
        <v>2</v>
      </c>
      <c r="I76" s="4"/>
    </row>
    <row r="77" spans="2:10" x14ac:dyDescent="0.3">
      <c r="I77" s="4"/>
      <c r="J77" s="4"/>
    </row>
    <row r="79" spans="2:10" x14ac:dyDescent="0.3">
      <c r="J79" s="4"/>
    </row>
    <row r="80" spans="2:10" x14ac:dyDescent="0.3">
      <c r="J80" s="4"/>
    </row>
    <row r="81" spans="10:10" x14ac:dyDescent="0.3">
      <c r="J81" s="4"/>
    </row>
    <row r="82" spans="10:10" x14ac:dyDescent="0.3">
      <c r="J82" s="4"/>
    </row>
    <row r="83" spans="10:10" x14ac:dyDescent="0.3">
      <c r="J83" s="4"/>
    </row>
    <row r="84" spans="10:10" x14ac:dyDescent="0.3">
      <c r="J84" s="4"/>
    </row>
    <row r="85" spans="10:10" x14ac:dyDescent="0.3">
      <c r="J85" s="4"/>
    </row>
    <row r="86" spans="10:10" x14ac:dyDescent="0.3">
      <c r="J86" s="4"/>
    </row>
    <row r="87" spans="10:10" x14ac:dyDescent="0.3">
      <c r="J87" s="4"/>
    </row>
    <row r="88" spans="10:10" x14ac:dyDescent="0.3">
      <c r="J88" s="4"/>
    </row>
    <row r="89" spans="10:10" x14ac:dyDescent="0.3">
      <c r="J89" s="4"/>
    </row>
    <row r="90" spans="10:10" x14ac:dyDescent="0.3">
      <c r="J90" s="4"/>
    </row>
    <row r="91" spans="10:10" x14ac:dyDescent="0.3">
      <c r="J91" s="4"/>
    </row>
    <row r="92" spans="10:10" x14ac:dyDescent="0.3">
      <c r="J92" s="4"/>
    </row>
    <row r="93" spans="10:10" x14ac:dyDescent="0.3">
      <c r="J93" s="4"/>
    </row>
    <row r="94" spans="10:10" x14ac:dyDescent="0.3">
      <c r="J94" s="4"/>
    </row>
    <row r="95" spans="10:10" x14ac:dyDescent="0.3">
      <c r="J95" s="4"/>
    </row>
    <row r="96" spans="10:10" x14ac:dyDescent="0.3">
      <c r="J96" s="4"/>
    </row>
    <row r="97" spans="10:10" x14ac:dyDescent="0.3">
      <c r="J97" s="4"/>
    </row>
    <row r="98" spans="10:10" x14ac:dyDescent="0.3">
      <c r="J98" s="4"/>
    </row>
    <row r="99" spans="10:10" x14ac:dyDescent="0.3">
      <c r="J99" s="4"/>
    </row>
    <row r="100" spans="10:10" x14ac:dyDescent="0.3">
      <c r="J100" s="4"/>
    </row>
    <row r="101" spans="10:10" x14ac:dyDescent="0.3">
      <c r="J101" s="4"/>
    </row>
    <row r="102" spans="10:10" x14ac:dyDescent="0.3">
      <c r="J102" s="4"/>
    </row>
    <row r="103" spans="10:10" x14ac:dyDescent="0.3">
      <c r="J103" s="4"/>
    </row>
    <row r="104" spans="10:10" x14ac:dyDescent="0.3">
      <c r="J104" s="4"/>
    </row>
    <row r="105" spans="10:10" x14ac:dyDescent="0.3">
      <c r="J105" s="4"/>
    </row>
    <row r="106" spans="10:10" x14ac:dyDescent="0.3">
      <c r="J106" s="4"/>
    </row>
    <row r="107" spans="10:10" x14ac:dyDescent="0.3">
      <c r="J107" s="4"/>
    </row>
    <row r="108" spans="10:10" x14ac:dyDescent="0.3">
      <c r="J108" s="4"/>
    </row>
    <row r="109" spans="10:10" x14ac:dyDescent="0.3">
      <c r="J109" s="4"/>
    </row>
    <row r="110" spans="10:10" x14ac:dyDescent="0.3">
      <c r="J110" s="4"/>
    </row>
    <row r="111" spans="10:10" x14ac:dyDescent="0.3">
      <c r="J111" s="4"/>
    </row>
    <row r="112" spans="10:10" x14ac:dyDescent="0.3">
      <c r="J112" s="4"/>
    </row>
    <row r="113" spans="10:10" x14ac:dyDescent="0.3">
      <c r="J113" s="4"/>
    </row>
    <row r="114" spans="10:10" x14ac:dyDescent="0.3">
      <c r="J114" s="4"/>
    </row>
    <row r="115" spans="10:10" x14ac:dyDescent="0.3">
      <c r="J115" s="4"/>
    </row>
    <row r="116" spans="10:10" x14ac:dyDescent="0.3">
      <c r="J116" s="4"/>
    </row>
    <row r="117" spans="10:10" x14ac:dyDescent="0.3">
      <c r="J117" s="4"/>
    </row>
    <row r="118" spans="10:10" x14ac:dyDescent="0.3">
      <c r="J118" s="4"/>
    </row>
    <row r="119" spans="10:10" x14ac:dyDescent="0.3">
      <c r="J119" s="4"/>
    </row>
    <row r="120" spans="10:10" x14ac:dyDescent="0.3">
      <c r="J120" s="4"/>
    </row>
    <row r="121" spans="10:10" x14ac:dyDescent="0.3">
      <c r="J121" s="4"/>
    </row>
    <row r="122" spans="10:10" x14ac:dyDescent="0.3">
      <c r="J122" s="4"/>
    </row>
    <row r="123" spans="10:10" x14ac:dyDescent="0.3">
      <c r="J123" s="4"/>
    </row>
    <row r="124" spans="10:10" x14ac:dyDescent="0.3">
      <c r="J124" s="4"/>
    </row>
    <row r="125" spans="10:10" x14ac:dyDescent="0.3">
      <c r="J125" s="4"/>
    </row>
    <row r="126" spans="10:10" x14ac:dyDescent="0.3">
      <c r="J126" s="4"/>
    </row>
    <row r="127" spans="10:10" x14ac:dyDescent="0.3">
      <c r="J127" s="4"/>
    </row>
    <row r="128" spans="10:10" x14ac:dyDescent="0.3">
      <c r="J128" s="4"/>
    </row>
    <row r="129" spans="10:10" x14ac:dyDescent="0.3">
      <c r="J129" s="4"/>
    </row>
    <row r="130" spans="10:10" x14ac:dyDescent="0.3">
      <c r="J130" s="4"/>
    </row>
    <row r="131" spans="10:10" x14ac:dyDescent="0.3">
      <c r="J131" s="4"/>
    </row>
  </sheetData>
  <mergeCells count="14">
    <mergeCell ref="A1:C1"/>
    <mergeCell ref="M2:R2"/>
    <mergeCell ref="K4:K5"/>
    <mergeCell ref="G1:H1"/>
    <mergeCell ref="I1:J1"/>
    <mergeCell ref="G2:H2"/>
    <mergeCell ref="I2:J2"/>
    <mergeCell ref="G3:H3"/>
    <mergeCell ref="I3:J3"/>
    <mergeCell ref="A5:C5"/>
    <mergeCell ref="D4:D5"/>
    <mergeCell ref="F4:F5"/>
    <mergeCell ref="G4:G5"/>
    <mergeCell ref="J4:J5"/>
  </mergeCells>
  <pageMargins left="0.7" right="0.7" top="0.78740157499999996" bottom="0.78740157499999996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Hilfstabelle!$O$1:$O$6</xm:f>
          </x14:formula1>
          <xm:sqref>M4</xm:sqref>
        </x14:dataValidation>
        <x14:dataValidation type="list" allowBlank="1" showInputMessage="1" showErrorMessage="1" xr:uid="{00000000-0002-0000-0600-000001000000}">
          <x14:formula1>
            <xm:f>Hilfstabelle!$P$1:$P$12</xm:f>
          </x14:formula1>
          <xm:sqref>N4</xm:sqref>
        </x14:dataValidation>
        <x14:dataValidation type="list" allowBlank="1" showInputMessage="1" showErrorMessage="1" xr:uid="{00000000-0002-0000-0600-000002000000}">
          <x14:formula1>
            <xm:f>Hilfstabelle!$U$1:$U$4</xm:f>
          </x14:formula1>
          <xm:sqref>Q4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43"/>
  <sheetViews>
    <sheetView workbookViewId="0">
      <selection activeCell="D21" sqref="D21"/>
    </sheetView>
  </sheetViews>
  <sheetFormatPr baseColWidth="10" defaultRowHeight="14.4" x14ac:dyDescent="0.3"/>
  <cols>
    <col min="1" max="3" width="5.33203125" customWidth="1"/>
    <col min="4" max="4" width="57.33203125" customWidth="1"/>
    <col min="5" max="5" width="47.6640625" customWidth="1"/>
    <col min="6" max="6" width="40.6640625" customWidth="1"/>
    <col min="7" max="9" width="11.6640625" customWidth="1"/>
    <col min="10" max="10" width="80.6640625" customWidth="1"/>
    <col min="11" max="11" width="11.5546875" hidden="1" customWidth="1"/>
    <col min="12" max="12" width="11.6640625" customWidth="1"/>
    <col min="13" max="18" width="16.6640625" customWidth="1"/>
  </cols>
  <sheetData>
    <row r="1" spans="1:18" x14ac:dyDescent="0.3">
      <c r="A1" s="34" t="str">
        <f>HYPERLINK("#Erläuterungen!A1","Erläuterungen")</f>
        <v>Erläuterungen</v>
      </c>
      <c r="B1" s="34"/>
      <c r="C1" s="34"/>
      <c r="G1" s="29" t="s">
        <v>1640</v>
      </c>
      <c r="H1" s="29"/>
      <c r="I1" s="29" t="s">
        <v>0</v>
      </c>
      <c r="J1" s="29"/>
    </row>
    <row r="2" spans="1:18" ht="21" x14ac:dyDescent="0.4">
      <c r="B2" s="27"/>
      <c r="C2" s="27"/>
      <c r="D2" s="25" t="s">
        <v>13</v>
      </c>
      <c r="F2" s="12" t="s">
        <v>1639</v>
      </c>
      <c r="G2" s="29">
        <v>9440</v>
      </c>
      <c r="H2" s="29"/>
      <c r="I2" s="29" t="str">
        <f>IF(G2&gt;0,VLOOKUP("F"&amp;G2,Hilfstabelle!A1:B451,2,FALSE),"")</f>
        <v>Cashflow (vereinfacht)</v>
      </c>
      <c r="J2" s="29"/>
      <c r="M2" s="30" t="s">
        <v>2</v>
      </c>
      <c r="N2" s="30"/>
      <c r="O2" s="30"/>
      <c r="P2" s="30"/>
      <c r="Q2" s="30"/>
      <c r="R2" s="30"/>
    </row>
    <row r="3" spans="1:18" x14ac:dyDescent="0.3">
      <c r="C3" s="1"/>
      <c r="D3" s="1"/>
      <c r="E3" s="1"/>
      <c r="F3" s="12" t="s">
        <v>1638</v>
      </c>
      <c r="G3" s="29">
        <v>225</v>
      </c>
      <c r="H3" s="29"/>
      <c r="I3" s="29" t="str">
        <f>IF(G3&gt;0,VLOOKUP(G3,Hilfstabelle!F1:G548,2,FALSE),"")</f>
        <v>Gewinn</v>
      </c>
      <c r="J3" s="29"/>
      <c r="K3" s="1"/>
      <c r="L3" s="1"/>
      <c r="M3" s="1"/>
      <c r="N3" s="1"/>
      <c r="O3" s="1"/>
      <c r="P3" s="1"/>
      <c r="Q3" s="1"/>
      <c r="R3" s="1"/>
    </row>
    <row r="4" spans="1:18" x14ac:dyDescent="0.3">
      <c r="D4" s="31" t="s">
        <v>4</v>
      </c>
      <c r="E4" s="2"/>
      <c r="F4" s="31" t="s">
        <v>5</v>
      </c>
      <c r="G4" s="31" t="s">
        <v>6</v>
      </c>
      <c r="H4" s="2"/>
      <c r="I4" s="2"/>
      <c r="J4" s="31" t="s">
        <v>7</v>
      </c>
      <c r="K4" s="31" t="s">
        <v>8</v>
      </c>
      <c r="L4" s="2"/>
      <c r="M4" s="3" t="s">
        <v>185</v>
      </c>
      <c r="N4" s="3" t="s">
        <v>9</v>
      </c>
      <c r="O4" s="3" t="s">
        <v>10</v>
      </c>
      <c r="P4" s="3" t="s">
        <v>11</v>
      </c>
      <c r="Q4" s="18" t="s">
        <v>12</v>
      </c>
      <c r="R4" s="18" t="s">
        <v>13</v>
      </c>
    </row>
    <row r="5" spans="1:18" x14ac:dyDescent="0.3">
      <c r="A5" s="30" t="s">
        <v>3</v>
      </c>
      <c r="B5" s="30"/>
      <c r="C5" s="30"/>
      <c r="D5" s="31"/>
      <c r="E5" s="2" t="s">
        <v>14</v>
      </c>
      <c r="F5" s="31"/>
      <c r="G5" s="31"/>
      <c r="H5" s="2"/>
      <c r="I5" s="2" t="s">
        <v>15</v>
      </c>
      <c r="J5" s="31"/>
      <c r="K5" s="31"/>
      <c r="L5" s="2" t="s">
        <v>16</v>
      </c>
      <c r="M5" s="3">
        <v>1000</v>
      </c>
      <c r="N5" s="3">
        <v>2000</v>
      </c>
      <c r="O5" s="3">
        <v>3000</v>
      </c>
      <c r="P5" s="3">
        <v>4000</v>
      </c>
      <c r="Q5" s="3" t="str">
        <f>IF(Q4="Vermögen","2000",VLOOKUP(Q4,Hilfstabelle!$B$1:$D$435,3,FALSE))</f>
        <v>2000</v>
      </c>
      <c r="R5" s="3" t="str">
        <f>IF(R4="Kapital","2000",VLOOKUP(R4,Hilfstabelle!$B$1:$D$435,3,FALSE))</f>
        <v>2000</v>
      </c>
    </row>
    <row r="8" spans="1:18" x14ac:dyDescent="0.3">
      <c r="A8">
        <v>6000</v>
      </c>
      <c r="D8" t="s">
        <v>651</v>
      </c>
      <c r="I8">
        <v>220</v>
      </c>
      <c r="L8" t="s">
        <v>20</v>
      </c>
    </row>
    <row r="10" spans="1:18" x14ac:dyDescent="0.3">
      <c r="A10">
        <v>6100</v>
      </c>
      <c r="D10" t="s">
        <v>652</v>
      </c>
      <c r="E10" t="s">
        <v>653</v>
      </c>
      <c r="F10" s="5"/>
      <c r="G10" s="5"/>
      <c r="J10" t="s">
        <v>654</v>
      </c>
      <c r="L10" t="s">
        <v>20</v>
      </c>
      <c r="R10" t="str">
        <f>IF(OR($R$4="Kapital",$R$4="Fremdkapital",$R$4="Eigenkapital (lt. Bilanz)"),"",IF($A10&gt;0,"F"&amp;$A10&amp;"_"&amp;$R$5,IF($B10&gt;0,"F"&amp;$B10&amp;"_"&amp;$R$5,"F"&amp;$C10&amp;"_"&amp;$R$5)))</f>
        <v/>
      </c>
    </row>
    <row r="11" spans="1:18" x14ac:dyDescent="0.3">
      <c r="B11">
        <v>6110</v>
      </c>
      <c r="D11" t="s">
        <v>655</v>
      </c>
      <c r="E11" t="s">
        <v>656</v>
      </c>
      <c r="J11" t="s">
        <v>657</v>
      </c>
      <c r="L11" t="s">
        <v>20</v>
      </c>
      <c r="R11" t="str">
        <f>IF(OR($R$4="Kapital",$R$4="Fremdkapital"),"",IF($A11&gt;0,"F"&amp;$A11&amp;"_"&amp;$R$5,IF($B11&gt;0,"F"&amp;$B11&amp;"_"&amp;$R$5,"F"&amp;$C11&amp;"_"&amp;$R$5)))</f>
        <v/>
      </c>
    </row>
    <row r="12" spans="1:18" x14ac:dyDescent="0.3">
      <c r="C12">
        <v>6111</v>
      </c>
      <c r="D12" t="s">
        <v>658</v>
      </c>
      <c r="E12" t="s">
        <v>658</v>
      </c>
      <c r="I12">
        <v>223</v>
      </c>
      <c r="L12" t="s">
        <v>20</v>
      </c>
      <c r="R12" t="str">
        <f t="shared" ref="R12:R13" si="0">IF(OR($R$4="Kapital",$R$4="Fremdkapital"),"",IF($A12&gt;0,"F"&amp;$A12&amp;"_"&amp;$R$5,IF($B12&gt;0,"F"&amp;$B12&amp;"_"&amp;$R$5,"F"&amp;$C12&amp;"_"&amp;$R$5)))</f>
        <v/>
      </c>
    </row>
    <row r="13" spans="1:18" x14ac:dyDescent="0.3">
      <c r="C13">
        <v>6112</v>
      </c>
      <c r="D13" t="s">
        <v>659</v>
      </c>
      <c r="E13" t="s">
        <v>659</v>
      </c>
      <c r="I13">
        <v>224</v>
      </c>
      <c r="L13" t="s">
        <v>20</v>
      </c>
      <c r="R13" t="str">
        <f t="shared" si="0"/>
        <v/>
      </c>
    </row>
    <row r="14" spans="1:18" x14ac:dyDescent="0.3">
      <c r="B14">
        <v>6120</v>
      </c>
      <c r="D14" t="s">
        <v>729</v>
      </c>
      <c r="E14" t="s">
        <v>729</v>
      </c>
      <c r="J14" t="s">
        <v>1944</v>
      </c>
      <c r="L14" t="s">
        <v>20</v>
      </c>
    </row>
    <row r="16" spans="1:18" x14ac:dyDescent="0.3">
      <c r="A16">
        <v>6200</v>
      </c>
      <c r="D16" t="s">
        <v>660</v>
      </c>
      <c r="E16" t="s">
        <v>661</v>
      </c>
      <c r="J16" t="s">
        <v>662</v>
      </c>
      <c r="L16" t="s">
        <v>20</v>
      </c>
      <c r="Q16" t="str">
        <f>IF($Q$4="Vermögen","",IF($A16&gt;0,"F"&amp;$A16&amp;"_"&amp;$Q$5,IF($B16&gt;0,"F"&amp;$B16&amp;"_"&amp;$Q$5,"F"&amp;$C16&amp;"_"&amp;$Q$5)))</f>
        <v/>
      </c>
      <c r="R16" t="str">
        <f>IF(OR($R$4="Kapital",$R$4="Fremdkapital",$R$4="Eigenkapital (lt. Bilanz)"),"",IF($A16&gt;0,"F"&amp;$A16&amp;"_"&amp;$R$5,IF($B16&gt;0,"F"&amp;$B16&amp;"_"&amp;$R$5,"F"&amp;$C16&amp;"_"&amp;$R$5)))</f>
        <v/>
      </c>
    </row>
    <row r="17" spans="1:18" x14ac:dyDescent="0.3">
      <c r="B17">
        <v>6210</v>
      </c>
      <c r="D17" t="s">
        <v>663</v>
      </c>
      <c r="E17" t="s">
        <v>664</v>
      </c>
      <c r="F17" t="s">
        <v>665</v>
      </c>
      <c r="J17" t="s">
        <v>666</v>
      </c>
      <c r="L17" t="s">
        <v>20</v>
      </c>
      <c r="Q17" t="str">
        <f t="shared" ref="Q17:Q20" si="1">IF($Q$4="Vermögen","",IF($A17&gt;0,"F"&amp;$A17&amp;"_"&amp;$Q$5,IF($B17&gt;0,"F"&amp;$B17&amp;"_"&amp;$Q$5,"F"&amp;$C17&amp;"_"&amp;$Q$5)))</f>
        <v/>
      </c>
      <c r="R17" t="str">
        <f>IF(OR($R$4="Kapital",$R$4="Eigenkapital (lt. Bilanz)"),"",IF($A17&gt;0,"F"&amp;$A17&amp;"_"&amp;$R$5,IF($B17&gt;0,"F"&amp;$B17&amp;"_"&amp;$R$5,"F"&amp;$C17&amp;"_"&amp;$R$5)))</f>
        <v/>
      </c>
    </row>
    <row r="18" spans="1:18" x14ac:dyDescent="0.3">
      <c r="B18">
        <v>6220</v>
      </c>
      <c r="D18" t="s">
        <v>667</v>
      </c>
      <c r="E18" t="s">
        <v>668</v>
      </c>
      <c r="F18" t="s">
        <v>2095</v>
      </c>
      <c r="I18">
        <v>212</v>
      </c>
      <c r="L18" t="s">
        <v>20</v>
      </c>
      <c r="Q18" t="str">
        <f t="shared" si="1"/>
        <v/>
      </c>
      <c r="R18" t="str">
        <f t="shared" ref="R18:R20" si="2">IF(OR($R$4="Kapital",$R$4="Eigenkapital (lt. Bilanz)"),"",IF($A18&gt;0,"F"&amp;$A18&amp;"_"&amp;$R$5,IF($B18&gt;0,"F"&amp;$B18&amp;"_"&amp;$R$5,"F"&amp;$C18&amp;"_"&amp;$R$5)))</f>
        <v/>
      </c>
    </row>
    <row r="19" spans="1:18" x14ac:dyDescent="0.3">
      <c r="C19">
        <v>6221</v>
      </c>
      <c r="D19" t="s">
        <v>669</v>
      </c>
      <c r="E19" t="s">
        <v>670</v>
      </c>
      <c r="I19">
        <v>213</v>
      </c>
      <c r="L19" t="s">
        <v>20</v>
      </c>
      <c r="Q19" t="str">
        <f t="shared" si="1"/>
        <v/>
      </c>
      <c r="R19" t="str">
        <f t="shared" si="2"/>
        <v/>
      </c>
    </row>
    <row r="20" spans="1:18" x14ac:dyDescent="0.3">
      <c r="C20">
        <v>6222</v>
      </c>
      <c r="D20" t="s">
        <v>671</v>
      </c>
      <c r="E20" t="s">
        <v>672</v>
      </c>
      <c r="I20">
        <v>214</v>
      </c>
      <c r="L20" t="s">
        <v>20</v>
      </c>
      <c r="Q20" t="str">
        <f t="shared" si="1"/>
        <v/>
      </c>
      <c r="R20" t="str">
        <f t="shared" si="2"/>
        <v/>
      </c>
    </row>
    <row r="21" spans="1:18" s="22" customFormat="1" x14ac:dyDescent="0.3">
      <c r="B21">
        <v>6230</v>
      </c>
      <c r="C21"/>
      <c r="D21" t="s">
        <v>1941</v>
      </c>
      <c r="E21" t="s">
        <v>1941</v>
      </c>
      <c r="F21" t="s">
        <v>2096</v>
      </c>
      <c r="G21"/>
      <c r="H21"/>
      <c r="I21"/>
      <c r="J21" t="s">
        <v>1942</v>
      </c>
      <c r="K21"/>
      <c r="L21" t="s">
        <v>20</v>
      </c>
    </row>
    <row r="23" spans="1:18" x14ac:dyDescent="0.3">
      <c r="A23">
        <v>6300</v>
      </c>
      <c r="D23" t="s">
        <v>673</v>
      </c>
      <c r="E23" t="s">
        <v>674</v>
      </c>
      <c r="J23" t="s">
        <v>675</v>
      </c>
      <c r="L23" t="s">
        <v>20</v>
      </c>
      <c r="R23" t="str">
        <f>IF(OR($R$4="Kapital",$R$4="Eigenkapital (lt. Bilanz)"),"",IF($A23&gt;0,"F"&amp;$A23&amp;"_"&amp;$R$5,IF($B23&gt;0,"F"&amp;$B23&amp;"_"&amp;$R$5,"F"&amp;$C23&amp;"_"&amp;$R$5)))</f>
        <v/>
      </c>
    </row>
    <row r="24" spans="1:18" x14ac:dyDescent="0.3">
      <c r="C24">
        <v>6301</v>
      </c>
      <c r="D24" t="s">
        <v>676</v>
      </c>
      <c r="E24" t="s">
        <v>677</v>
      </c>
      <c r="I24">
        <v>215</v>
      </c>
      <c r="L24" t="s">
        <v>20</v>
      </c>
      <c r="R24" t="str">
        <f t="shared" ref="R24:R25" si="3">IF(OR($R$4="Kapital",$R$4="Eigenkapital (lt. Bilanz)"),"",IF($A24&gt;0,"F"&amp;$A24&amp;"_"&amp;$R$5,IF($B24&gt;0,"F"&amp;$B24&amp;"_"&amp;$R$5,"F"&amp;$C24&amp;"_"&amp;$R$5)))</f>
        <v/>
      </c>
    </row>
    <row r="25" spans="1:18" x14ac:dyDescent="0.3">
      <c r="C25">
        <v>6302</v>
      </c>
      <c r="D25" t="s">
        <v>678</v>
      </c>
      <c r="E25" t="s">
        <v>679</v>
      </c>
      <c r="I25">
        <v>216</v>
      </c>
      <c r="L25" t="s">
        <v>20</v>
      </c>
      <c r="R25" t="str">
        <f t="shared" si="3"/>
        <v/>
      </c>
    </row>
    <row r="27" spans="1:18" ht="15" customHeight="1" x14ac:dyDescent="0.3">
      <c r="A27">
        <v>6400</v>
      </c>
      <c r="D27" t="s">
        <v>680</v>
      </c>
      <c r="E27" t="s">
        <v>681</v>
      </c>
      <c r="F27" t="s">
        <v>681</v>
      </c>
      <c r="H27" s="10"/>
      <c r="J27" t="s">
        <v>682</v>
      </c>
      <c r="L27" t="s">
        <v>20</v>
      </c>
      <c r="R27" t="str">
        <f>IF(OR($R$4="Kapital",$R$4="Eigenkapital (lt. Bilanz)"),"",IF($A27&gt;0,"F"&amp;$A27&amp;"_"&amp;$R$5,IF($B27&gt;0,"F"&amp;$B27&amp;"_"&amp;$R$5,"F"&amp;$C27&amp;"_"&amp;$R$5)))</f>
        <v/>
      </c>
    </row>
    <row r="28" spans="1:18" x14ac:dyDescent="0.3">
      <c r="B28">
        <v>6410</v>
      </c>
      <c r="D28" t="s">
        <v>683</v>
      </c>
      <c r="H28" s="14"/>
      <c r="J28" t="s">
        <v>684</v>
      </c>
      <c r="L28" t="s">
        <v>20</v>
      </c>
      <c r="R28" t="str">
        <f t="shared" ref="R28:R30" si="4">IF(OR($R$4="Kapital",$R$4="Eigenkapital (lt. Bilanz)"),"",IF($A28&gt;0,"F"&amp;$A28&amp;"_"&amp;$R$5,IF($B28&gt;0,"F"&amp;$B28&amp;"_"&amp;$R$5,"F"&amp;$C28&amp;"_"&amp;$R$5)))</f>
        <v/>
      </c>
    </row>
    <row r="29" spans="1:18" x14ac:dyDescent="0.3">
      <c r="B29">
        <v>6420</v>
      </c>
      <c r="D29" t="s">
        <v>685</v>
      </c>
      <c r="H29" s="14"/>
      <c r="J29" t="s">
        <v>686</v>
      </c>
      <c r="L29" t="s">
        <v>20</v>
      </c>
      <c r="R29" t="str">
        <f t="shared" si="4"/>
        <v/>
      </c>
    </row>
    <row r="30" spans="1:18" ht="15" customHeight="1" x14ac:dyDescent="0.3">
      <c r="B30">
        <v>6430</v>
      </c>
      <c r="D30" t="s">
        <v>687</v>
      </c>
      <c r="H30" s="14"/>
      <c r="J30" t="s">
        <v>688</v>
      </c>
      <c r="L30" t="s">
        <v>20</v>
      </c>
      <c r="R30" t="str">
        <f t="shared" si="4"/>
        <v/>
      </c>
    </row>
    <row r="31" spans="1:18" x14ac:dyDescent="0.3">
      <c r="H31" s="14"/>
    </row>
    <row r="32" spans="1:18" x14ac:dyDescent="0.3">
      <c r="A32">
        <v>6500</v>
      </c>
      <c r="D32" t="s">
        <v>689</v>
      </c>
      <c r="H32" s="14"/>
      <c r="J32" t="s">
        <v>697</v>
      </c>
      <c r="L32" t="s">
        <v>20</v>
      </c>
      <c r="R32" t="str">
        <f>IF(OR($R$4="Kapital",$R$4="Fremdkapital",$R$4="Eigenkapital (lt. Bilanz)"),"",IF($A32&gt;0,"F"&amp;$A32&amp;"_"&amp;$R$5,IF($B32&gt;0,"F"&amp;$B32&amp;"_"&amp;$R$5,"F"&amp;$C32&amp;"_"&amp;$R$5)))</f>
        <v/>
      </c>
    </row>
    <row r="33" spans="1:18" x14ac:dyDescent="0.3">
      <c r="B33">
        <v>6510</v>
      </c>
      <c r="D33" t="s">
        <v>690</v>
      </c>
      <c r="H33" s="14"/>
      <c r="J33" t="s">
        <v>691</v>
      </c>
      <c r="L33" t="s">
        <v>20</v>
      </c>
      <c r="R33" t="str">
        <f t="shared" ref="R33:R34" si="5">IF(OR($R$4="Kapital",$R$4="Fremdkapital",$R$4="Eigenkapital (lt. Bilanz)"),"",IF($A33&gt;0,"F"&amp;$A33&amp;"_"&amp;$R$5,IF($B33&gt;0,"F"&amp;$B33&amp;"_"&amp;$R$5,"F"&amp;$C33&amp;"_"&amp;$R$5)))</f>
        <v/>
      </c>
    </row>
    <row r="34" spans="1:18" x14ac:dyDescent="0.3">
      <c r="B34">
        <v>6520</v>
      </c>
      <c r="D34" t="s">
        <v>692</v>
      </c>
      <c r="H34" s="14"/>
      <c r="J34" t="s">
        <v>693</v>
      </c>
      <c r="L34" t="s">
        <v>20</v>
      </c>
      <c r="R34" t="str">
        <f t="shared" si="5"/>
        <v/>
      </c>
    </row>
    <row r="35" spans="1:18" x14ac:dyDescent="0.3">
      <c r="H35" s="14"/>
    </row>
    <row r="36" spans="1:18" x14ac:dyDescent="0.3">
      <c r="H36" s="10"/>
    </row>
    <row r="37" spans="1:18" x14ac:dyDescent="0.3">
      <c r="A37">
        <v>6600</v>
      </c>
      <c r="D37" t="s">
        <v>694</v>
      </c>
      <c r="E37" t="s">
        <v>694</v>
      </c>
      <c r="J37" t="s">
        <v>695</v>
      </c>
      <c r="L37" t="s">
        <v>20</v>
      </c>
      <c r="R37" t="str">
        <f>IF(OR($R$4="Kapital",$R$4="Fremdkapital",$R$4="Eigenkapital (lt. Bilanz)"),"",IF($A37&gt;0,"F"&amp;$A37&amp;"_"&amp;$R$5,IF($B37&gt;0,"F"&amp;$B37&amp;"_"&amp;$R$5,"F"&amp;$C37&amp;"_"&amp;$R$5)))</f>
        <v/>
      </c>
    </row>
    <row r="39" spans="1:18" x14ac:dyDescent="0.3">
      <c r="A39">
        <v>6700</v>
      </c>
      <c r="D39" t="s">
        <v>696</v>
      </c>
      <c r="E39" t="s">
        <v>696</v>
      </c>
      <c r="J39" t="str">
        <f>VLOOKUP("FK",Hilfstabelle!C2:D451,2,FALSE)&amp;"*"&amp;VLOOKUP("kalkZins_EK",Hilfstabelle!C2:D451,2,FALSE)</f>
        <v>F6200*F5910</v>
      </c>
      <c r="L39" t="s">
        <v>20</v>
      </c>
      <c r="R39" t="str">
        <f t="shared" ref="R39" si="6">IF(OR($R$4="Kapital",$R$4="Eigenkapital (lt. Bilanz)"),"",IF($A39&gt;0,"F"&amp;$A39&amp;"_"&amp;$R$5,IF($B39&gt;0,"F"&amp;$B39&amp;"_"&amp;$R$5,"F"&amp;$C39&amp;"_"&amp;$R$5)))</f>
        <v/>
      </c>
    </row>
    <row r="41" spans="1:18" x14ac:dyDescent="0.3">
      <c r="D41" s="1" t="s">
        <v>802</v>
      </c>
    </row>
    <row r="42" spans="1:18" x14ac:dyDescent="0.3">
      <c r="B42">
        <v>6910</v>
      </c>
      <c r="D42" t="s">
        <v>725</v>
      </c>
      <c r="E42" t="s">
        <v>726</v>
      </c>
      <c r="J42" t="str">
        <f>"("&amp;VLOOKUP("Vermögen",Hilfstabelle!C2:D451,2,FALSE)&amp;"-"&amp;VLOOKUP("FK",Hilfstabelle!C2:D451,2,FALSE)&amp;")*"&amp;VLOOKUP("kalkZins_EK",Hilfstabelle!C2:D451,2,FALSE)</f>
        <v>(F5130-F6200)*F5910</v>
      </c>
      <c r="L42" t="s">
        <v>20</v>
      </c>
      <c r="R42" t="str">
        <f>IF(OR($R$4="Kapital",$R$4="Fremdkapital"),"",IF($A42&gt;0,"F"&amp;$A42&amp;"_"&amp;$R$5,IF($B42&gt;0,"F"&amp;$B42&amp;"_"&amp;$R$5,"F"&amp;$C42&amp;"_"&amp;$R$5)))</f>
        <v/>
      </c>
    </row>
    <row r="43" spans="1:18" x14ac:dyDescent="0.3">
      <c r="B43">
        <v>6920</v>
      </c>
      <c r="D43" t="s">
        <v>727</v>
      </c>
      <c r="E43" t="s">
        <v>727</v>
      </c>
      <c r="J43" t="str">
        <f>VLOOKUP("Vermögen",Hilfstabelle!C2:D451,2,FALSE)&amp;"-"&amp;VLOOKUP("FK",Hilfstabelle!C2:D451,2,FALSE)</f>
        <v>F5130-F6200</v>
      </c>
      <c r="L43" t="s">
        <v>20</v>
      </c>
      <c r="Q43" t="str">
        <f>IF(OR($Q$4="Vermögen",$Q$4="Anlagevermögen ohne Boden"),"",IF($A43&gt;0,"F"&amp;$A43&amp;"_"&amp;$Q$5,IF($B43&gt;0,"F"&amp;$B43&amp;"_"&amp;$Q$5,"F"&amp;$C43&amp;"_"&amp;$Q$5)))</f>
        <v/>
      </c>
      <c r="R43" t="str">
        <f>IF(OR($R$4="Kapital",$R$4="Fremdkapital"),"",IF($A43&gt;0,"F"&amp;$A43&amp;"_"&amp;$R$5,IF($B43&gt;0,"F"&amp;$B43&amp;"_"&amp;$R$5,"F"&amp;$C43&amp;"_"&amp;$R$5)))</f>
        <v/>
      </c>
    </row>
  </sheetData>
  <mergeCells count="14">
    <mergeCell ref="A5:C5"/>
    <mergeCell ref="A1:C1"/>
    <mergeCell ref="M2:R2"/>
    <mergeCell ref="G1:H1"/>
    <mergeCell ref="D4:D5"/>
    <mergeCell ref="F4:F5"/>
    <mergeCell ref="G4:G5"/>
    <mergeCell ref="I1:J1"/>
    <mergeCell ref="G2:H2"/>
    <mergeCell ref="I2:J2"/>
    <mergeCell ref="G3:H3"/>
    <mergeCell ref="I3:J3"/>
    <mergeCell ref="J4:J5"/>
    <mergeCell ref="K4:K5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Hilfstabelle!$T$1:$T$4</xm:f>
          </x14:formula1>
          <xm:sqref>R4</xm:sqref>
        </x14:dataValidation>
        <x14:dataValidation type="list" allowBlank="1" showInputMessage="1" showErrorMessage="1" xr:uid="{00000000-0002-0000-0700-000001000000}">
          <x14:formula1>
            <xm:f>Hilfstabelle!$U$1:$U$3</xm:f>
          </x14:formula1>
          <xm:sqref>Q4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16"/>
  <sheetViews>
    <sheetView workbookViewId="0">
      <selection activeCell="D69" sqref="D69"/>
    </sheetView>
  </sheetViews>
  <sheetFormatPr baseColWidth="10" defaultRowHeight="14.4" x14ac:dyDescent="0.3"/>
  <cols>
    <col min="1" max="3" width="5.33203125" customWidth="1"/>
    <col min="4" max="4" width="57.33203125" customWidth="1"/>
    <col min="5" max="5" width="47.6640625" customWidth="1"/>
    <col min="6" max="6" width="40.6640625" customWidth="1"/>
    <col min="7" max="9" width="11.6640625" customWidth="1"/>
    <col min="10" max="10" width="80.6640625" customWidth="1"/>
    <col min="11" max="11" width="0" hidden="1" customWidth="1"/>
    <col min="12" max="12" width="11.6640625" customWidth="1"/>
    <col min="13" max="18" width="16.6640625" customWidth="1"/>
  </cols>
  <sheetData>
    <row r="1" spans="1:18" x14ac:dyDescent="0.3">
      <c r="A1" s="34" t="str">
        <f>HYPERLINK("#Erläuterungen!A1","Erläuterungen")</f>
        <v>Erläuterungen</v>
      </c>
      <c r="B1" s="34"/>
      <c r="C1" s="34"/>
      <c r="G1" s="29" t="s">
        <v>1640</v>
      </c>
      <c r="H1" s="29"/>
      <c r="I1" s="29" t="s">
        <v>0</v>
      </c>
      <c r="J1" s="29"/>
    </row>
    <row r="2" spans="1:18" ht="21" x14ac:dyDescent="0.4">
      <c r="D2" s="25" t="s">
        <v>319</v>
      </c>
      <c r="F2" s="12" t="s">
        <v>1639</v>
      </c>
      <c r="G2" s="29">
        <v>3100</v>
      </c>
      <c r="H2" s="29"/>
      <c r="I2" s="29" t="str">
        <f>IF(G2&gt;0,VLOOKUP("F"&amp;G2,Hilfstabelle!A1:B451,2,FALSE),"")</f>
        <v>Betriebsertrag</v>
      </c>
      <c r="J2" s="29"/>
      <c r="M2" s="30" t="s">
        <v>2</v>
      </c>
      <c r="N2" s="30"/>
      <c r="O2" s="30"/>
      <c r="P2" s="30"/>
      <c r="Q2" s="30"/>
      <c r="R2" s="30"/>
    </row>
    <row r="3" spans="1:18" ht="24" customHeight="1" x14ac:dyDescent="0.3">
      <c r="C3" s="1"/>
      <c r="D3" s="1"/>
      <c r="E3" s="1"/>
      <c r="F3" s="12" t="s">
        <v>1638</v>
      </c>
      <c r="G3" s="29">
        <v>420</v>
      </c>
      <c r="H3" s="29"/>
      <c r="I3" s="29" t="str">
        <f>IF(G3&gt;0,VLOOKUP(G3,Hilfstabelle!F1:G548,2,FALSE),"")</f>
        <v>Dienstl. Fremdf.</v>
      </c>
      <c r="J3" s="29"/>
      <c r="K3" s="1"/>
      <c r="L3" s="1"/>
      <c r="M3" s="1"/>
      <c r="N3" s="1"/>
      <c r="O3" s="1"/>
      <c r="P3" s="1"/>
      <c r="Q3" s="1"/>
      <c r="R3" s="1"/>
    </row>
    <row r="4" spans="1:18" x14ac:dyDescent="0.3">
      <c r="D4" s="31" t="s">
        <v>4</v>
      </c>
      <c r="E4" s="2"/>
      <c r="F4" s="31" t="s">
        <v>5</v>
      </c>
      <c r="G4" s="31" t="s">
        <v>6</v>
      </c>
      <c r="H4" s="2"/>
      <c r="I4" s="2"/>
      <c r="J4" s="31" t="s">
        <v>7</v>
      </c>
      <c r="K4" s="31" t="s">
        <v>8</v>
      </c>
      <c r="L4" s="1"/>
      <c r="M4" s="18" t="s">
        <v>185</v>
      </c>
      <c r="N4" s="18" t="s">
        <v>9</v>
      </c>
      <c r="O4" s="18" t="s">
        <v>10</v>
      </c>
      <c r="P4" s="18" t="s">
        <v>11</v>
      </c>
      <c r="Q4" s="18" t="s">
        <v>12</v>
      </c>
      <c r="R4" s="18" t="s">
        <v>13</v>
      </c>
    </row>
    <row r="5" spans="1:18" x14ac:dyDescent="0.3">
      <c r="A5" s="30" t="s">
        <v>3</v>
      </c>
      <c r="B5" s="30"/>
      <c r="C5" s="30"/>
      <c r="D5" s="31"/>
      <c r="E5" s="2" t="s">
        <v>14</v>
      </c>
      <c r="F5" s="31"/>
      <c r="G5" s="31"/>
      <c r="H5" s="2"/>
      <c r="I5" s="2" t="s">
        <v>15</v>
      </c>
      <c r="J5" s="31"/>
      <c r="K5" s="31"/>
      <c r="L5" s="1" t="s">
        <v>16</v>
      </c>
      <c r="M5" s="3" t="str">
        <f>IF(M4="Arbeitskräfte","1000",VLOOKUP(M4,Hilfstabelle!$B$1:$D$435,3,FALSE))</f>
        <v>1000</v>
      </c>
      <c r="N5" s="3" t="str">
        <f>IF(N4="Flächen","2000",VLOOKUP(N4,Hilfstabelle!$B$1:$D$435,3,FALSE))</f>
        <v>2000</v>
      </c>
      <c r="O5" s="3" t="str">
        <f>IF(O4="Ertrag","3000",VLOOKUP(O4,Hilfstabelle!$B$1:$D$435,3,FALSE))</f>
        <v>3000</v>
      </c>
      <c r="P5" s="3" t="str">
        <f>IF(P4="Aufwand","4000",VLOOKUP(P4,Hilfstabelle!$B$1:$D$435,3,FALSE))</f>
        <v>4000</v>
      </c>
      <c r="Q5" s="3" t="str">
        <f>IF(Q4="Vermögen","5000",VLOOKUP(Q4,Hilfstabelle!$B$1:$D$435,3,FALSE))</f>
        <v>5000</v>
      </c>
      <c r="R5" s="3" t="str">
        <f>IF(R4="Kapital","6000",VLOOKUP(R4,Hilfstabelle!$B$1:$D$435,3,FALSE))</f>
        <v>6000</v>
      </c>
    </row>
    <row r="8" spans="1:18" x14ac:dyDescent="0.3">
      <c r="A8">
        <v>9000</v>
      </c>
      <c r="D8" t="s">
        <v>346</v>
      </c>
      <c r="I8" t="s">
        <v>698</v>
      </c>
      <c r="L8" t="s">
        <v>20</v>
      </c>
      <c r="M8" t="str">
        <f>IF($M$4="Arbeitskräfte","",IF($A8&gt;0,"F"&amp;$A8&amp;"_"&amp;$M$5,IF($B8&gt;0,"F"&amp;$B8&amp;"_"&amp;$M$5,"F"&amp;$C8&amp;"_"&amp;$M$5)))</f>
        <v/>
      </c>
      <c r="N8" t="str">
        <f>IF($N$4="Flächen","",IF($A8&gt;0,"F"&amp;$A8&amp;"_"&amp;$N$5,IF($B8&gt;0,"F"&amp;$B8&amp;"_"&amp;$N$5,"F"&amp;$C8&amp;"_"&amp;$N$5)))</f>
        <v/>
      </c>
      <c r="O8" t="str">
        <f>IF($O$4="Ertrag","",IF($A8&gt;0,"F"&amp;$A8&amp;"_"&amp;$O$5,IF($B8&gt;0,"F"&amp;$B8&amp;"_"&amp;$O$5,"F"&amp;$C8&amp;"_"&amp;$O$5)))</f>
        <v/>
      </c>
      <c r="P8" t="str">
        <f>IF($P$4="Aufwand","",IF($A8&gt;0,"F"&amp;$A8&amp;"_"&amp;$P$5,IF($B8&gt;0,"F"&amp;$B8&amp;"_"&amp;$P$5,"F"&amp;$C8&amp;"_"&amp;$P$5)))</f>
        <v/>
      </c>
      <c r="Q8" t="str">
        <f>IF($Q$4="Vermögen","",IF($A8&gt;0,"F"&amp;$A8&amp;"_"&amp;$Q$5,IF($B8&gt;0,"F"&amp;$B8&amp;"_"&amp;$Q$5,"F"&amp;$C8&amp;"_"&amp;$Q$5)))</f>
        <v/>
      </c>
      <c r="R8" t="str">
        <f>IF($R$4="Kapital","",IF($A8&gt;0,"F"&amp;$A8&amp;"_"&amp;$R$5,IF($B8&gt;0,"F"&amp;$B8&amp;"_"&amp;$R$5,"F"&amp;$C8&amp;"_"&amp;$R$5)))</f>
        <v/>
      </c>
    </row>
    <row r="9" spans="1:18" x14ac:dyDescent="0.3">
      <c r="B9">
        <v>9010</v>
      </c>
      <c r="D9" t="s">
        <v>699</v>
      </c>
      <c r="E9" t="s">
        <v>700</v>
      </c>
      <c r="J9" t="str">
        <f>VLOOKUP("Betriebsergebnis_N",Hilfstabelle!C2:D451,2,FALSE)&amp;"+"&amp;VLOOKUP("Finanzerträge_N",Hilfstabelle!C2:D451,2,FALSE)&amp;"-"&amp;VLOOKUP("Finanzaufwendungen_N",Hilfstabelle!C2:D451,2,FALSE)</f>
        <v>F9210+F3022-F4032</v>
      </c>
      <c r="L9" t="s">
        <v>20</v>
      </c>
      <c r="M9" t="str">
        <f t="shared" ref="M9:M51" si="0">IF($M$4="Arbeitskräfte","",IF($A9&gt;0,"F"&amp;$A9&amp;"_"&amp;$M$5,IF($B9&gt;0,"F"&amp;$B9&amp;"_"&amp;$M$5,"F"&amp;$C9&amp;"_"&amp;$M$5)))</f>
        <v/>
      </c>
      <c r="N9" t="str">
        <f t="shared" ref="N9:N51" si="1">IF($N$4="Flächen","",IF($A9&gt;0,"F"&amp;$A9&amp;"_"&amp;$N$5,IF($B9&gt;0,"F"&amp;$B9&amp;"_"&amp;$N$5,"F"&amp;$C9&amp;"_"&amp;$N$5)))</f>
        <v/>
      </c>
      <c r="O9" t="str">
        <f t="shared" ref="O9:O51" si="2">IF($O$4="Ertrag","",IF($A9&gt;0,"F"&amp;$A9&amp;"_"&amp;$O$5,IF($B9&gt;0,"F"&amp;$B9&amp;"_"&amp;$O$5,"F"&amp;$C9&amp;"_"&amp;$O$5)))</f>
        <v/>
      </c>
      <c r="P9" t="str">
        <f t="shared" ref="P9:P51" si="3">IF($P$4="Aufwand","",IF($A9&gt;0,"F"&amp;$A9&amp;"_"&amp;$P$5,IF($B9&gt;0,"F"&amp;$B9&amp;"_"&amp;$P$5,"F"&amp;$C9&amp;"_"&amp;$P$5)))</f>
        <v/>
      </c>
      <c r="Q9" t="str">
        <f t="shared" ref="Q9:Q21" si="4">IF($Q$4="Vermögen","",IF($A9&gt;0,"F"&amp;$A9&amp;"_"&amp;$Q$5,IF($B9&gt;0,"F"&amp;$B9&amp;"_"&amp;$Q$5,"F"&amp;$C9&amp;"_"&amp;$Q$5)))</f>
        <v/>
      </c>
      <c r="R9" t="str">
        <f t="shared" ref="R9:R21" si="5">IF($R$4="Kapital","",IF($A9&gt;0,"F"&amp;$A9&amp;"_"&amp;$R$5,IF($B9&gt;0,"F"&amp;$B9&amp;"_"&amp;$R$5,"F"&amp;$C9&amp;"_"&amp;$R$5)))</f>
        <v/>
      </c>
    </row>
    <row r="10" spans="1:18" x14ac:dyDescent="0.3">
      <c r="B10">
        <v>9020</v>
      </c>
      <c r="D10" t="s">
        <v>701</v>
      </c>
      <c r="E10" t="s">
        <v>702</v>
      </c>
      <c r="F10" s="5"/>
      <c r="G10" s="5"/>
      <c r="J10" t="str">
        <f>"(i456-i349+"&amp;VLOOKUP("steuerl.Sonderposten",Hilfstabelle!C2:D451,2,FALSE)&amp;"+i131)-i458"</f>
        <v>(i456-i349+F9041+i131)-i458</v>
      </c>
      <c r="L10" t="s">
        <v>20</v>
      </c>
      <c r="M10" t="str">
        <f t="shared" si="0"/>
        <v/>
      </c>
      <c r="N10" t="str">
        <f t="shared" si="1"/>
        <v/>
      </c>
      <c r="O10" t="str">
        <f t="shared" si="2"/>
        <v/>
      </c>
      <c r="P10" t="str">
        <f t="shared" si="3"/>
        <v/>
      </c>
      <c r="Q10" t="str">
        <f t="shared" si="4"/>
        <v/>
      </c>
      <c r="R10" t="str">
        <f t="shared" si="5"/>
        <v/>
      </c>
    </row>
    <row r="11" spans="1:18" x14ac:dyDescent="0.3">
      <c r="B11">
        <v>9030</v>
      </c>
      <c r="D11" t="s">
        <v>712</v>
      </c>
      <c r="E11" t="s">
        <v>713</v>
      </c>
      <c r="F11" s="5"/>
      <c r="G11" s="5"/>
      <c r="J11" t="str">
        <f>VLOOKUP("Gewinn",Hilfstabelle!C2:D451,2,FALSE)&amp;"-i358-i348+i455"</f>
        <v>F9020-i358-i348+i455</v>
      </c>
      <c r="L11" t="s">
        <v>20</v>
      </c>
      <c r="M11" t="str">
        <f t="shared" si="0"/>
        <v/>
      </c>
      <c r="N11" t="str">
        <f t="shared" si="1"/>
        <v/>
      </c>
      <c r="O11" t="str">
        <f t="shared" si="2"/>
        <v/>
      </c>
      <c r="P11" t="str">
        <f t="shared" si="3"/>
        <v/>
      </c>
      <c r="Q11" t="str">
        <f t="shared" si="4"/>
        <v/>
      </c>
      <c r="R11" t="str">
        <f t="shared" si="5"/>
        <v/>
      </c>
    </row>
    <row r="12" spans="1:18" x14ac:dyDescent="0.3">
      <c r="B12">
        <v>9040</v>
      </c>
      <c r="D12" t="s">
        <v>709</v>
      </c>
      <c r="E12" t="s">
        <v>709</v>
      </c>
      <c r="F12" s="5"/>
      <c r="G12" s="5"/>
      <c r="J12" t="s">
        <v>710</v>
      </c>
      <c r="K12" t="str">
        <f>VLOOKUP("Finanzerträge_N",Hilfstabelle!C2:D451,2,FALSE)&amp;"-"&amp;VLOOKUP("Finanzaufwendungen_N",Hilfstabelle!C2:D451,2,FALSE)</f>
        <v>F3022-F4032</v>
      </c>
      <c r="L12" t="s">
        <v>20</v>
      </c>
      <c r="N12" t="str">
        <f t="shared" si="1"/>
        <v/>
      </c>
      <c r="O12" t="str">
        <f t="shared" si="2"/>
        <v/>
      </c>
      <c r="P12" t="str">
        <f t="shared" si="3"/>
        <v/>
      </c>
      <c r="Q12" t="str">
        <f t="shared" si="4"/>
        <v/>
      </c>
      <c r="R12" t="str">
        <f t="shared" si="5"/>
        <v/>
      </c>
    </row>
    <row r="13" spans="1:18" x14ac:dyDescent="0.3">
      <c r="C13">
        <v>9041</v>
      </c>
      <c r="D13" t="s">
        <v>703</v>
      </c>
      <c r="E13" t="s">
        <v>704</v>
      </c>
      <c r="F13" s="5"/>
      <c r="G13" s="5"/>
      <c r="J13" s="11" t="s">
        <v>705</v>
      </c>
      <c r="L13" t="s">
        <v>20</v>
      </c>
      <c r="N13" t="str">
        <f t="shared" si="1"/>
        <v/>
      </c>
      <c r="O13" t="str">
        <f t="shared" si="2"/>
        <v/>
      </c>
      <c r="P13" t="str">
        <f t="shared" si="3"/>
        <v/>
      </c>
      <c r="Q13" t="str">
        <f t="shared" si="4"/>
        <v/>
      </c>
      <c r="R13" t="str">
        <f t="shared" si="5"/>
        <v/>
      </c>
    </row>
    <row r="16" spans="1:18" x14ac:dyDescent="0.3">
      <c r="A16">
        <v>9100</v>
      </c>
      <c r="D16" t="s">
        <v>714</v>
      </c>
      <c r="E16" t="s">
        <v>715</v>
      </c>
      <c r="J16" t="str">
        <f>VLOOKUP("Gewinn",Hilfstabelle!C2:D451,2,FALSE)&amp;"-"&amp;VLOOKUP("Kalk. Lohnansatz",Hilfstabelle!C2:D451,2,FALSE)</f>
        <v>F9020-F4710</v>
      </c>
      <c r="L16" t="s">
        <v>20</v>
      </c>
      <c r="O16" t="str">
        <f t="shared" si="2"/>
        <v/>
      </c>
      <c r="P16" t="str">
        <f t="shared" si="3"/>
        <v/>
      </c>
      <c r="Q16" t="str">
        <f t="shared" si="4"/>
        <v/>
      </c>
      <c r="R16" t="str">
        <f t="shared" si="5"/>
        <v/>
      </c>
    </row>
    <row r="17" spans="1:18" x14ac:dyDescent="0.3">
      <c r="B17">
        <v>9110</v>
      </c>
      <c r="D17" t="s">
        <v>732</v>
      </c>
      <c r="E17" t="s">
        <v>732</v>
      </c>
      <c r="J17" t="str">
        <f>VLOOKUP("Zinsertrag EK",Hilfstabelle!C2:D451,2,FALSE)&amp;"-"&amp;VLOOKUP("Zins Eigenkapital",Hilfstabelle!C2:D451,2,FALSE)</f>
        <v>F9100-F6910</v>
      </c>
      <c r="L17" t="s">
        <v>20</v>
      </c>
      <c r="O17" t="str">
        <f t="shared" si="2"/>
        <v/>
      </c>
      <c r="P17" t="str">
        <f t="shared" si="3"/>
        <v/>
      </c>
      <c r="Q17" t="str">
        <f t="shared" si="4"/>
        <v/>
      </c>
      <c r="R17" t="str">
        <f t="shared" si="5"/>
        <v/>
      </c>
    </row>
    <row r="18" spans="1:18" x14ac:dyDescent="0.3">
      <c r="B18">
        <v>9120</v>
      </c>
      <c r="D18" t="s">
        <v>716</v>
      </c>
      <c r="E18" t="s">
        <v>716</v>
      </c>
      <c r="J18" t="s">
        <v>717</v>
      </c>
      <c r="L18" t="s">
        <v>20</v>
      </c>
      <c r="O18" t="str">
        <f t="shared" si="2"/>
        <v/>
      </c>
      <c r="P18" t="str">
        <f t="shared" si="3"/>
        <v/>
      </c>
      <c r="Q18" t="str">
        <f t="shared" si="4"/>
        <v/>
      </c>
      <c r="R18" t="str">
        <f t="shared" si="5"/>
        <v/>
      </c>
    </row>
    <row r="19" spans="1:18" x14ac:dyDescent="0.3">
      <c r="B19">
        <v>9130</v>
      </c>
      <c r="D19" t="s">
        <v>718</v>
      </c>
      <c r="E19" t="s">
        <v>718</v>
      </c>
      <c r="J19" t="str">
        <f>VLOOKUP("Eigenkapitalveränderung",Hilfstabelle!C2:D451,2,FALSE)&amp;"+"&amp;VLOOKUP("Fremdkapitalveränderung",Hilfstabelle!C2:D451,2,FALSE)</f>
        <v>F9120+F6400</v>
      </c>
      <c r="L19" t="s">
        <v>20</v>
      </c>
      <c r="O19" t="str">
        <f t="shared" si="2"/>
        <v/>
      </c>
      <c r="P19" t="str">
        <f t="shared" si="3"/>
        <v/>
      </c>
      <c r="Q19" t="str">
        <f t="shared" si="4"/>
        <v/>
      </c>
      <c r="R19" t="str">
        <f t="shared" si="5"/>
        <v/>
      </c>
    </row>
    <row r="20" spans="1:18" x14ac:dyDescent="0.3">
      <c r="B20">
        <v>9140</v>
      </c>
      <c r="D20" t="s">
        <v>2100</v>
      </c>
      <c r="E20" t="s">
        <v>728</v>
      </c>
      <c r="J20" t="s">
        <v>730</v>
      </c>
      <c r="K20" t="s">
        <v>731</v>
      </c>
      <c r="L20" t="s">
        <v>20</v>
      </c>
      <c r="O20" t="str">
        <f t="shared" si="2"/>
        <v/>
      </c>
      <c r="P20" t="str">
        <f t="shared" si="3"/>
        <v/>
      </c>
      <c r="Q20" t="str">
        <f t="shared" si="4"/>
        <v/>
      </c>
      <c r="R20" t="str">
        <f t="shared" si="5"/>
        <v/>
      </c>
    </row>
    <row r="21" spans="1:18" x14ac:dyDescent="0.3">
      <c r="B21">
        <v>9150</v>
      </c>
      <c r="D21" t="s">
        <v>733</v>
      </c>
      <c r="E21" t="s">
        <v>734</v>
      </c>
      <c r="J21" t="str">
        <f>VLOOKUP("netto Entnahmen",Hilfstabelle!C2:D451,2,FALSE)&amp;"+i424"</f>
        <v>F9140+i424</v>
      </c>
      <c r="L21" t="s">
        <v>20</v>
      </c>
      <c r="O21" t="str">
        <f t="shared" si="2"/>
        <v/>
      </c>
      <c r="P21" t="str">
        <f t="shared" si="3"/>
        <v/>
      </c>
      <c r="Q21" t="str">
        <f t="shared" si="4"/>
        <v/>
      </c>
      <c r="R21" t="str">
        <f t="shared" si="5"/>
        <v/>
      </c>
    </row>
    <row r="24" spans="1:18" x14ac:dyDescent="0.3">
      <c r="A24">
        <v>9200</v>
      </c>
      <c r="D24" t="s">
        <v>767</v>
      </c>
      <c r="E24" t="s">
        <v>768</v>
      </c>
      <c r="J24" t="str">
        <f>VLOOKUP("Ergebnis vor Steuern_N",Hilfstabelle!C2:D451,2,FALSE)&amp;"+"&amp;VLOOKUP("Finanzaufwendungen_N",Hilfstabelle!C2:D451,2,FALSE)&amp;"-"&amp;VLOOKUP("Kalk. Lohnansatz",Hilfstabelle!C2:D451,2,FALSE)</f>
        <v>F9010+F4032-F4710</v>
      </c>
      <c r="L24" t="s">
        <v>20</v>
      </c>
      <c r="M24" t="str">
        <f t="shared" si="0"/>
        <v/>
      </c>
      <c r="N24" t="str">
        <f t="shared" si="1"/>
        <v/>
      </c>
      <c r="O24" t="str">
        <f t="shared" si="2"/>
        <v/>
      </c>
    </row>
    <row r="25" spans="1:18" x14ac:dyDescent="0.3">
      <c r="B25">
        <v>9210</v>
      </c>
      <c r="D25" t="s">
        <v>1669</v>
      </c>
      <c r="E25" t="s">
        <v>766</v>
      </c>
      <c r="F25" t="s">
        <v>1670</v>
      </c>
      <c r="G25" s="14"/>
      <c r="J25" t="str">
        <f>VLOOKUP("betriebliche Erträge_N",Hilfstabelle!C2:D451,2,FALSE)&amp;"-"&amp;VLOOKUP("betrieb. Aufwendungen_N",Hilfstabelle!C2:D451,2,FALSE)</f>
        <v>F3150-F4110</v>
      </c>
      <c r="L25" t="s">
        <v>20</v>
      </c>
      <c r="M25" t="str">
        <f t="shared" si="0"/>
        <v/>
      </c>
      <c r="N25" t="str">
        <f t="shared" si="1"/>
        <v/>
      </c>
      <c r="O25" t="str">
        <f t="shared" si="2"/>
        <v/>
      </c>
    </row>
    <row r="26" spans="1:18" x14ac:dyDescent="0.3">
      <c r="B26">
        <v>9220</v>
      </c>
      <c r="D26" t="s">
        <v>1959</v>
      </c>
      <c r="E26" t="s">
        <v>1959</v>
      </c>
      <c r="F26" t="s">
        <v>1960</v>
      </c>
      <c r="G26" s="14"/>
      <c r="J26" t="str">
        <f>VLOOKUP("Betriebsergebnis_N",Hilfstabelle!C2:D451,2,FALSE)&amp;"+"&amp;VLOOKUP("AFA",Hilfstabelle!C2:D451,2,FALSE)</f>
        <v>F9210+F4625</v>
      </c>
      <c r="L26" t="s">
        <v>20</v>
      </c>
      <c r="M26" t="str">
        <f t="shared" si="0"/>
        <v/>
      </c>
      <c r="N26" t="str">
        <f t="shared" si="1"/>
        <v/>
      </c>
      <c r="O26" t="str">
        <f t="shared" si="2"/>
        <v/>
      </c>
    </row>
    <row r="27" spans="1:18" x14ac:dyDescent="0.3">
      <c r="B27">
        <v>9230</v>
      </c>
      <c r="D27" t="s">
        <v>769</v>
      </c>
      <c r="E27" t="s">
        <v>770</v>
      </c>
      <c r="J27" t="str">
        <f>"("&amp;VLOOKUP("Ergebnis vor Steuern_N",Hilfstabelle!C2:D451,2,FALSE)&amp;"-"&amp;VLOOKUP("Kalk. Lohnansatz",Hilfstabelle!C2:D451,2,FALSE)&amp;")/"&amp;VLOOKUP("betriebliche Erträge_N",Hilfstabelle!C2:D451,2,FALSE)&amp;"*!100"</f>
        <v>(F9010-F4710)/F3150*!100</v>
      </c>
      <c r="L27" t="s">
        <v>20</v>
      </c>
      <c r="M27" t="str">
        <f t="shared" si="0"/>
        <v/>
      </c>
      <c r="N27" t="str">
        <f t="shared" si="1"/>
        <v/>
      </c>
      <c r="O27" t="str">
        <f t="shared" si="2"/>
        <v/>
      </c>
    </row>
    <row r="29" spans="1:18" x14ac:dyDescent="0.3">
      <c r="A29">
        <v>9300</v>
      </c>
      <c r="D29" t="s">
        <v>735</v>
      </c>
      <c r="E29" t="s">
        <v>736</v>
      </c>
      <c r="J29" t="str">
        <f>VLOOKUP("BErtrag",Hilfstabelle!C2:D451,2,FALSE)&amp;"-(i401+i402+i414+"&amp;VLOOKUP("SpezialA Handel/Dienstl",Hilfstabelle!C2:D451,2,FALSE)&amp;"+i444)"</f>
        <v>F3100-(i401+i402+i414+F4340+i444)</v>
      </c>
      <c r="L29" t="s">
        <v>20</v>
      </c>
      <c r="M29" t="str">
        <f t="shared" si="0"/>
        <v/>
      </c>
      <c r="N29" t="str">
        <f t="shared" si="1"/>
        <v/>
      </c>
      <c r="O29" t="str">
        <f t="shared" si="2"/>
        <v/>
      </c>
    </row>
    <row r="30" spans="1:18" x14ac:dyDescent="0.3">
      <c r="B30">
        <v>9310</v>
      </c>
      <c r="D30" t="s">
        <v>737</v>
      </c>
      <c r="E30" t="s">
        <v>737</v>
      </c>
      <c r="J30" t="str">
        <f>VLOOKUP("BErtrag",Hilfstabelle!C2:D451,2,FALSE)&amp;"-"&amp;VLOOKUP("SpezialA insg.",Hilfstabelle!C2:D451,2,FALSE)</f>
        <v>F3100-F4300</v>
      </c>
      <c r="L30" t="s">
        <v>20</v>
      </c>
      <c r="M30" t="str">
        <f t="shared" si="0"/>
        <v/>
      </c>
      <c r="N30" t="str">
        <f t="shared" si="1"/>
        <v/>
      </c>
      <c r="O30" t="str">
        <f t="shared" si="2"/>
        <v/>
      </c>
    </row>
    <row r="31" spans="1:18" x14ac:dyDescent="0.3">
      <c r="B31">
        <v>9320</v>
      </c>
      <c r="D31" t="s">
        <v>738</v>
      </c>
      <c r="E31" t="s">
        <v>59</v>
      </c>
      <c r="J31" t="str">
        <f>VLOOKUP("BErtrag",Hilfstabelle!C2:D451,2,FALSE)&amp;"-"&amp;VLOOKUP("BA",Hilfstabelle!C2:D451,2,FALSE)&amp;"+"&amp;VLOOKUP("Lohnaufwand",Hilfstabelle!C2:D451,2,FALSE)</f>
        <v>F3100-F4100+F4400</v>
      </c>
      <c r="L31" t="s">
        <v>20</v>
      </c>
      <c r="M31" t="str">
        <f t="shared" si="0"/>
        <v/>
      </c>
      <c r="N31" t="str">
        <f t="shared" si="1"/>
        <v/>
      </c>
      <c r="O31" t="str">
        <f t="shared" si="2"/>
        <v/>
      </c>
    </row>
    <row r="32" spans="1:18" x14ac:dyDescent="0.3">
      <c r="B32">
        <v>9330</v>
      </c>
      <c r="D32" t="s">
        <v>739</v>
      </c>
      <c r="E32" t="s">
        <v>739</v>
      </c>
      <c r="J32" t="str">
        <f>VLOOKUP("BErtrag",Hilfstabelle!C2:D451,2,FALSE)&amp;"-"&amp;VLOOKUP("BA",Hilfstabelle!C2:D451,2,FALSE)</f>
        <v>F3100-F4100</v>
      </c>
      <c r="L32" t="s">
        <v>20</v>
      </c>
      <c r="M32" t="str">
        <f t="shared" si="0"/>
        <v/>
      </c>
      <c r="N32" t="str">
        <f t="shared" si="1"/>
        <v/>
      </c>
      <c r="O32" t="str">
        <f t="shared" si="2"/>
        <v/>
      </c>
    </row>
    <row r="33" spans="1:16" x14ac:dyDescent="0.3">
      <c r="C33">
        <v>9335</v>
      </c>
      <c r="D33" t="s">
        <v>740</v>
      </c>
      <c r="E33" t="s">
        <v>740</v>
      </c>
      <c r="J33" t="str">
        <f>VLOOKUP("BEinkommen",Hilfstabelle!C2:D451,2,FALSE)&amp;"-i421-i422-i427-i423"</f>
        <v>F9320-i421-i422-i427-i423</v>
      </c>
      <c r="L33" t="s">
        <v>20</v>
      </c>
      <c r="M33" t="str">
        <f t="shared" si="0"/>
        <v/>
      </c>
      <c r="N33" t="str">
        <f t="shared" si="1"/>
        <v/>
      </c>
      <c r="O33" t="str">
        <f t="shared" si="2"/>
        <v/>
      </c>
    </row>
    <row r="34" spans="1:16" x14ac:dyDescent="0.3">
      <c r="B34">
        <v>9340</v>
      </c>
      <c r="D34" t="s">
        <v>741</v>
      </c>
      <c r="E34" t="s">
        <v>741</v>
      </c>
      <c r="J34" t="str">
        <f>VLOOKUP("Roheinkommen",Hilfstabelle!C2:D451,2,FALSE)&amp;"-"&amp;VLOOKUP("Kalk. Lohnansatz",Hilfstabelle!C2:D451,2,FALSE)</f>
        <v>F9330-F4710</v>
      </c>
      <c r="L34" t="s">
        <v>20</v>
      </c>
      <c r="M34" t="str">
        <f t="shared" si="0"/>
        <v/>
      </c>
      <c r="N34" t="str">
        <f t="shared" si="1"/>
        <v/>
      </c>
      <c r="O34" t="str">
        <f t="shared" si="2"/>
        <v/>
      </c>
    </row>
    <row r="35" spans="1:16" x14ac:dyDescent="0.3">
      <c r="C35">
        <v>9345</v>
      </c>
      <c r="D35" t="s">
        <v>742</v>
      </c>
      <c r="E35" t="s">
        <v>742</v>
      </c>
      <c r="J35" t="str">
        <f>VLOOKUP("BEinkommen",Hilfstabelle!C2:D451,2,FALSE)&amp;"-"&amp;VLOOKUP("Lohnaufwand ohne GF",Hilfstabelle!C2:D451,2,FALSE)&amp;"-"&amp;VLOOKUP("kalk.Lohn.GF&gt;1",Hilfstabelle!C2:D451,2,FALSE)</f>
        <v>F9320-F4420-F4714</v>
      </c>
      <c r="L35" t="s">
        <v>20</v>
      </c>
      <c r="M35" t="str">
        <f t="shared" si="0"/>
        <v/>
      </c>
      <c r="N35" t="str">
        <f t="shared" si="1"/>
        <v/>
      </c>
      <c r="O35" t="str">
        <f t="shared" si="2"/>
        <v/>
      </c>
    </row>
    <row r="36" spans="1:16" x14ac:dyDescent="0.3">
      <c r="B36">
        <v>9350</v>
      </c>
      <c r="D36" t="s">
        <v>743</v>
      </c>
      <c r="E36" t="s">
        <v>743</v>
      </c>
      <c r="J36" t="str">
        <f>VLOOKUP("Reinertrag",Hilfstabelle!C2:D451,2,FALSE)&amp;"-"&amp;VLOOKUP("Zins kalk Vermögen (betriebl.)_N",Hilfstabelle!C2:D451,2,FALSE)</f>
        <v>F9340-F5550</v>
      </c>
      <c r="L36" t="s">
        <v>20</v>
      </c>
      <c r="M36" t="str">
        <f t="shared" si="0"/>
        <v/>
      </c>
      <c r="N36" t="str">
        <f t="shared" si="1"/>
        <v/>
      </c>
      <c r="O36" t="str">
        <f t="shared" si="2"/>
        <v/>
      </c>
    </row>
    <row r="37" spans="1:16" x14ac:dyDescent="0.3">
      <c r="C37">
        <v>9355</v>
      </c>
      <c r="D37" t="s">
        <v>2156</v>
      </c>
      <c r="E37" t="s">
        <v>744</v>
      </c>
      <c r="J37" t="str">
        <f>VLOOKUP("Reinertrag einzelbetrieblich",Hilfstabelle!C2:D451,2,FALSE)&amp;"-"&amp;VLOOKUP("Zins kalk Vermögen_N",Hilfstabelle!C2:D451,2,FALSE)</f>
        <v>F9345-F5540</v>
      </c>
      <c r="L37" t="s">
        <v>20</v>
      </c>
      <c r="M37" t="str">
        <f t="shared" si="0"/>
        <v/>
      </c>
      <c r="N37" t="str">
        <f t="shared" si="1"/>
        <v/>
      </c>
      <c r="O37" t="str">
        <f t="shared" si="2"/>
        <v/>
      </c>
    </row>
    <row r="39" spans="1:16" x14ac:dyDescent="0.3">
      <c r="A39">
        <v>9400</v>
      </c>
      <c r="D39" t="s">
        <v>1961</v>
      </c>
      <c r="E39" t="s">
        <v>719</v>
      </c>
      <c r="J39" t="str">
        <f>VLOOKUP("Gewinn",Hilfstabelle!C2:D451,2,FALSE)&amp;"+"&amp;VLOOKUP("AFA (ohne S-AFA)",Hilfstabelle!C2:D451,2,FALSE)&amp;"-i344-i380+i445-i342"</f>
        <v>F9020+F4620-i344-i380+i445-i342</v>
      </c>
      <c r="L39" t="s">
        <v>20</v>
      </c>
      <c r="M39" t="str">
        <f t="shared" si="0"/>
        <v/>
      </c>
      <c r="N39" t="str">
        <f t="shared" si="1"/>
        <v/>
      </c>
      <c r="O39" t="str">
        <f t="shared" si="2"/>
        <v/>
      </c>
    </row>
    <row r="40" spans="1:16" x14ac:dyDescent="0.3">
      <c r="B40">
        <v>9410</v>
      </c>
      <c r="D40" t="s">
        <v>1962</v>
      </c>
      <c r="E40" t="s">
        <v>724</v>
      </c>
      <c r="J40" t="str">
        <f>VLOOKUP("Cash Flow_N",Hilfstabelle!C2:D451,2,FALSE)&amp;"+i451"</f>
        <v>F9400+i451</v>
      </c>
      <c r="L40" t="s">
        <v>20</v>
      </c>
      <c r="M40" t="str">
        <f>IF($M$4="Arbeitskräfte","",IF($A40&gt;0,"F"&amp;$A40&amp;"_"&amp;$M$5,IF($B40&gt;0,"F"&amp;$B40&amp;"_"&amp;$M$5,"F"&amp;$C40&amp;"_"&amp;$M$5)))</f>
        <v/>
      </c>
      <c r="N40" t="str">
        <f>IF($N$4="Flächen","",IF($A40&gt;0,"F"&amp;$A40&amp;"_"&amp;$N$5,IF($B40&gt;0,"F"&amp;$B40&amp;"_"&amp;$N$5,"F"&amp;$C40&amp;"_"&amp;$N$5)))</f>
        <v/>
      </c>
      <c r="O40" t="str">
        <f>IF($O$4="Ertrag","",IF($A40&gt;0,"F"&amp;$A40&amp;"_"&amp;$O$5,IF($B40&gt;0,"F"&amp;$B40&amp;"_"&amp;$O$5,"F"&amp;$C40&amp;"_"&amp;$O$5)))</f>
        <v/>
      </c>
    </row>
    <row r="41" spans="1:16" x14ac:dyDescent="0.3">
      <c r="B41">
        <v>9420</v>
      </c>
      <c r="D41" t="s">
        <v>1963</v>
      </c>
      <c r="E41" t="s">
        <v>720</v>
      </c>
      <c r="J41" t="str">
        <f>VLOOKUP("Cash Flow_N",Hilfstabelle!C2:D451,2,FALSE)&amp;"+i223+i224"</f>
        <v>F9400+i223+i224</v>
      </c>
      <c r="L41" t="s">
        <v>20</v>
      </c>
      <c r="M41" t="str">
        <f t="shared" si="0"/>
        <v/>
      </c>
      <c r="N41" t="str">
        <f t="shared" si="1"/>
        <v/>
      </c>
      <c r="O41" t="str">
        <f t="shared" si="2"/>
        <v/>
      </c>
    </row>
    <row r="42" spans="1:16" x14ac:dyDescent="0.3">
      <c r="B42">
        <v>9430</v>
      </c>
      <c r="D42" t="s">
        <v>1964</v>
      </c>
      <c r="E42" t="s">
        <v>1947</v>
      </c>
      <c r="J42" t="str">
        <f>VLOOKUP("Cash-flowII_N",Hilfstabelle!C2:D451,2,FALSE)&amp;"+i451"</f>
        <v>F9420+i451</v>
      </c>
      <c r="L42" t="s">
        <v>20</v>
      </c>
      <c r="M42" t="str">
        <f t="shared" si="0"/>
        <v/>
      </c>
      <c r="N42" t="str">
        <f t="shared" si="1"/>
        <v/>
      </c>
      <c r="O42" t="str">
        <f t="shared" si="2"/>
        <v/>
      </c>
    </row>
    <row r="43" spans="1:16" x14ac:dyDescent="0.3">
      <c r="B43">
        <v>9440</v>
      </c>
      <c r="D43" t="s">
        <v>721</v>
      </c>
      <c r="E43" t="s">
        <v>722</v>
      </c>
      <c r="F43" t="s">
        <v>723</v>
      </c>
      <c r="J43" t="str">
        <f>VLOOKUP("Gewinn",Hilfstabelle!C2:D451,2,FALSE)&amp;"+"&amp;VLOOKUP("AFA (ohne S-AFA)",Hilfstabelle!C2:D451,2,FALSE)</f>
        <v>F9020+F4620</v>
      </c>
      <c r="L43" t="s">
        <v>20</v>
      </c>
      <c r="M43" t="str">
        <f>IF($M$4="Arbeitskräfte","",IF($A43&gt;0,"F"&amp;$A43&amp;"_"&amp;$M$5,IF($B43&gt;0,"F"&amp;$B43&amp;"_"&amp;$M$5,"F"&amp;$C43&amp;"_"&amp;$M$5)))</f>
        <v/>
      </c>
      <c r="N43" t="str">
        <f>IF($N$4="Flächen","",IF($A43&gt;0,"F"&amp;$A43&amp;"_"&amp;$N$5,IF($B43&gt;0,"F"&amp;$B43&amp;"_"&amp;$N$5,"F"&amp;$C43&amp;"_"&amp;$N$5)))</f>
        <v/>
      </c>
      <c r="O43" t="str">
        <f>IF($O$4="Ertrag","",IF($A43&gt;0,"F"&amp;$A43&amp;"_"&amp;$O$5,IF($B43&gt;0,"F"&amp;$B43&amp;"_"&amp;$O$5,"F"&amp;$C43&amp;"_"&amp;$O$5)))</f>
        <v/>
      </c>
    </row>
    <row r="45" spans="1:16" x14ac:dyDescent="0.3">
      <c r="A45">
        <v>9500</v>
      </c>
      <c r="D45" t="s">
        <v>771</v>
      </c>
      <c r="E45" t="s">
        <v>771</v>
      </c>
      <c r="J45" t="s">
        <v>772</v>
      </c>
      <c r="L45" t="s">
        <v>20</v>
      </c>
      <c r="M45" t="str">
        <f t="shared" si="0"/>
        <v/>
      </c>
      <c r="N45" t="str">
        <f t="shared" si="1"/>
        <v/>
      </c>
      <c r="O45" t="str">
        <f t="shared" si="2"/>
        <v/>
      </c>
      <c r="P45" t="str">
        <f t="shared" si="3"/>
        <v/>
      </c>
    </row>
    <row r="46" spans="1:16" x14ac:dyDescent="0.3">
      <c r="B46">
        <v>9510</v>
      </c>
      <c r="D46" t="s">
        <v>771</v>
      </c>
      <c r="E46" t="s">
        <v>773</v>
      </c>
      <c r="J46" t="s">
        <v>774</v>
      </c>
      <c r="L46" t="s">
        <v>20</v>
      </c>
      <c r="M46" t="str">
        <f t="shared" si="0"/>
        <v/>
      </c>
      <c r="N46" t="str">
        <f t="shared" si="1"/>
        <v/>
      </c>
      <c r="O46" t="str">
        <f t="shared" si="2"/>
        <v/>
      </c>
      <c r="P46" t="str">
        <f t="shared" si="3"/>
        <v/>
      </c>
    </row>
    <row r="47" spans="1:16" x14ac:dyDescent="0.3">
      <c r="B47">
        <v>9520</v>
      </c>
      <c r="D47" t="s">
        <v>48</v>
      </c>
      <c r="E47" t="s">
        <v>48</v>
      </c>
      <c r="J47" t="s">
        <v>49</v>
      </c>
      <c r="L47" t="s">
        <v>20</v>
      </c>
      <c r="M47" t="str">
        <f t="shared" si="0"/>
        <v/>
      </c>
      <c r="N47" t="str">
        <f t="shared" si="1"/>
        <v/>
      </c>
      <c r="O47" t="str">
        <f t="shared" si="2"/>
        <v/>
      </c>
      <c r="P47" t="str">
        <f t="shared" si="3"/>
        <v/>
      </c>
    </row>
    <row r="48" spans="1:16" x14ac:dyDescent="0.3">
      <c r="B48">
        <v>9530</v>
      </c>
      <c r="D48" t="s">
        <v>775</v>
      </c>
      <c r="E48" t="s">
        <v>776</v>
      </c>
      <c r="J48" t="s">
        <v>777</v>
      </c>
      <c r="L48" t="s">
        <v>20</v>
      </c>
      <c r="M48" t="str">
        <f t="shared" si="0"/>
        <v/>
      </c>
      <c r="N48" t="str">
        <f t="shared" si="1"/>
        <v/>
      </c>
      <c r="O48" t="str">
        <f t="shared" si="2"/>
        <v/>
      </c>
      <c r="P48" t="str">
        <f t="shared" si="3"/>
        <v/>
      </c>
    </row>
    <row r="49" spans="1:16" x14ac:dyDescent="0.3">
      <c r="B49">
        <v>9540</v>
      </c>
      <c r="D49" t="s">
        <v>778</v>
      </c>
      <c r="E49" t="s">
        <v>779</v>
      </c>
      <c r="J49" t="str">
        <f>VLOOKUP("Nettoverbindlichkeiten_N",Hilfstabelle!C2:D451,2,FALSE)&amp;"/"&amp;VLOOKUP("Cash-flowII_N",Hilfstabelle!C2:D451,2,FALSE)</f>
        <v>F9530/F9420</v>
      </c>
      <c r="L49" t="s">
        <v>20</v>
      </c>
      <c r="M49" t="str">
        <f t="shared" si="0"/>
        <v/>
      </c>
      <c r="N49" t="str">
        <f t="shared" si="1"/>
        <v/>
      </c>
      <c r="O49" t="str">
        <f t="shared" si="2"/>
        <v/>
      </c>
      <c r="P49" t="str">
        <f t="shared" si="3"/>
        <v/>
      </c>
    </row>
    <row r="50" spans="1:16" x14ac:dyDescent="0.3">
      <c r="C50">
        <v>9545</v>
      </c>
      <c r="D50" t="s">
        <v>794</v>
      </c>
      <c r="E50" t="s">
        <v>794</v>
      </c>
      <c r="J50" t="str">
        <f>"((212+213)-175)/"&amp;VLOOKUP("Cash-flowII_N",Hilfstabelle!C2:D451,2,FALSE)</f>
        <v>((212+213)-175)/F9420</v>
      </c>
      <c r="L50" t="s">
        <v>20</v>
      </c>
      <c r="M50" t="str">
        <f t="shared" si="0"/>
        <v/>
      </c>
      <c r="N50" t="str">
        <f t="shared" si="1"/>
        <v/>
      </c>
      <c r="O50" t="str">
        <f t="shared" si="2"/>
        <v/>
      </c>
      <c r="P50" t="str">
        <f t="shared" si="3"/>
        <v/>
      </c>
    </row>
    <row r="51" spans="1:16" x14ac:dyDescent="0.3">
      <c r="B51">
        <v>9550</v>
      </c>
      <c r="D51" t="s">
        <v>616</v>
      </c>
      <c r="E51" t="s">
        <v>616</v>
      </c>
      <c r="J51" t="s">
        <v>618</v>
      </c>
      <c r="L51" t="s">
        <v>20</v>
      </c>
      <c r="M51" t="str">
        <f t="shared" si="0"/>
        <v/>
      </c>
      <c r="N51" t="str">
        <f t="shared" si="1"/>
        <v/>
      </c>
      <c r="O51" t="str">
        <f t="shared" si="2"/>
        <v/>
      </c>
      <c r="P51" t="str">
        <f t="shared" si="3"/>
        <v/>
      </c>
    </row>
    <row r="53" spans="1:16" x14ac:dyDescent="0.3">
      <c r="A53">
        <v>9600</v>
      </c>
      <c r="D53" t="s">
        <v>780</v>
      </c>
      <c r="E53" t="s">
        <v>1948</v>
      </c>
      <c r="F53" t="s">
        <v>2097</v>
      </c>
      <c r="J53" t="s">
        <v>1949</v>
      </c>
      <c r="L53" t="s">
        <v>181</v>
      </c>
    </row>
    <row r="54" spans="1:16" x14ac:dyDescent="0.3">
      <c r="B54">
        <v>9610</v>
      </c>
      <c r="D54" t="s">
        <v>781</v>
      </c>
      <c r="E54" t="s">
        <v>781</v>
      </c>
      <c r="F54" t="s">
        <v>2098</v>
      </c>
      <c r="J54" t="s">
        <v>782</v>
      </c>
      <c r="L54" t="s">
        <v>181</v>
      </c>
    </row>
    <row r="55" spans="1:16" x14ac:dyDescent="0.3">
      <c r="B55">
        <v>9620</v>
      </c>
      <c r="D55" t="s">
        <v>783</v>
      </c>
      <c r="E55" t="s">
        <v>783</v>
      </c>
      <c r="F55" t="s">
        <v>2099</v>
      </c>
      <c r="J55" t="str">
        <f>VLOOKUP("Umlaufvermögen lt. Bilanz",Hilfstabelle!C2:D451,2,FALSE)&amp;"/(i213+i214)"</f>
        <v>F5300/(i213+i214)</v>
      </c>
      <c r="L55" t="s">
        <v>181</v>
      </c>
    </row>
    <row r="56" spans="1:16" x14ac:dyDescent="0.3">
      <c r="B56">
        <v>9630</v>
      </c>
      <c r="D56" t="s">
        <v>784</v>
      </c>
      <c r="E56" t="s">
        <v>785</v>
      </c>
      <c r="J56" t="str">
        <f>VLOOKUP("Vermögen",Hilfstabelle!C2:D451,2,FALSE)&amp;"/"&amp;VLOOKUP("FK",Hilfstabelle!C2:D451,2,FALSE)</f>
        <v>F5130/F6200</v>
      </c>
      <c r="L56" t="s">
        <v>181</v>
      </c>
    </row>
    <row r="57" spans="1:16" x14ac:dyDescent="0.3">
      <c r="B57">
        <v>9640</v>
      </c>
      <c r="D57" t="s">
        <v>795</v>
      </c>
      <c r="E57" t="s">
        <v>795</v>
      </c>
      <c r="J57" t="str">
        <f>VLOOKUP("Gewinn",Hilfstabelle!C2:D451,2,FALSE)&amp;"+"&amp;VLOOKUP("Finanzaufwendungen_N",Hilfstabelle!C2:D451,2,FALSE)&amp;"+"&amp;VLOOKUP("AFA (ohne S-AFA)",Hilfstabelle!C2:D451,2,FALSE)</f>
        <v>F9020+F4032+F4620</v>
      </c>
      <c r="L57" t="s">
        <v>20</v>
      </c>
    </row>
    <row r="58" spans="1:16" x14ac:dyDescent="0.3">
      <c r="B58">
        <v>9650</v>
      </c>
      <c r="D58" t="s">
        <v>796</v>
      </c>
      <c r="E58" t="s">
        <v>796</v>
      </c>
      <c r="J58" t="str">
        <f>VLOOKUP("Gewinn",Hilfstabelle!C2:D451,2,FALSE)&amp;"+"&amp;VLOOKUP("Finanzaufwendungen_N",Hilfstabelle!C2:D451,2,FALSE)&amp;"-"&amp;VLOOKUP("netto Entnahmen",Hilfstabelle!C2:D451,2,FALSE)</f>
        <v>F9020+F4032-F9140</v>
      </c>
      <c r="L58" t="s">
        <v>20</v>
      </c>
    </row>
    <row r="59" spans="1:16" x14ac:dyDescent="0.3">
      <c r="B59">
        <v>9660</v>
      </c>
      <c r="D59" t="s">
        <v>798</v>
      </c>
      <c r="E59" t="s">
        <v>798</v>
      </c>
      <c r="J59" t="str">
        <f>VLOOKUP("Gewinn",Hilfstabelle!C2:D451,2,FALSE)&amp;"-i348+i455+"&amp;VLOOKUP("netto Entnahmen",Hilfstabelle!C2:D451,2,FALSE)&amp;"+i451+i131"</f>
        <v>F9020-i348+i455+F9140+i451+i131</v>
      </c>
      <c r="L59" t="s">
        <v>20</v>
      </c>
    </row>
    <row r="60" spans="1:16" x14ac:dyDescent="0.3">
      <c r="B60">
        <v>9670</v>
      </c>
      <c r="D60" t="s">
        <v>799</v>
      </c>
      <c r="E60" t="s">
        <v>799</v>
      </c>
      <c r="J60" t="str">
        <f>VLOOKUP("Gewinn",Hilfstabelle!C2:D451,2,FALSE)&amp;"-i348+i455+"&amp;VLOOKUP("netto Entnahmen",Hilfstabelle!C2:D451,2,FALSE)&amp;"+i451+i131+i122+i123"</f>
        <v>F9020-i348+i455+F9140+i451+i131+i122+i123</v>
      </c>
      <c r="L60" t="s">
        <v>20</v>
      </c>
    </row>
    <row r="61" spans="1:16" x14ac:dyDescent="0.3">
      <c r="B61">
        <v>9680</v>
      </c>
      <c r="D61" t="s">
        <v>797</v>
      </c>
      <c r="E61" t="s">
        <v>797</v>
      </c>
      <c r="J61" t="str">
        <f>VLOOKUP("Eigenkapitalveränderung",Hilfstabelle!C2:D451,2,FALSE)&amp;"-"&amp;VLOOKUP("Kapitaldienstgrenze nachhaltig",Hilfstabelle!C2:D451,2,FALSE)</f>
        <v>F9120-F9650</v>
      </c>
      <c r="L61" t="s">
        <v>20</v>
      </c>
    </row>
    <row r="63" spans="1:16" x14ac:dyDescent="0.3">
      <c r="A63" s="1">
        <v>9700</v>
      </c>
    </row>
    <row r="64" spans="1:16" x14ac:dyDescent="0.3">
      <c r="C64">
        <v>9701</v>
      </c>
      <c r="D64" s="6" t="s">
        <v>756</v>
      </c>
      <c r="E64" s="6" t="s">
        <v>756</v>
      </c>
      <c r="J64" t="str">
        <f>VLOOKUP("kalkulatorisches Eigenkapital",Hilfstabelle!C2:D451,2,FALSE)&amp;"/("&amp;VLOOKUP("Anlagevermögen ohne Boden",Hilfstabelle!C2:D451,2,FALSE)&amp;"+"&amp;VLOOKUP("Kalk. Bodenwert",Hilfstabelle!C2:D451,2,FALSE)&amp;")"</f>
        <v>F6920/(F5220+F5520)</v>
      </c>
      <c r="L64" t="s">
        <v>20</v>
      </c>
    </row>
    <row r="65" spans="3:15" x14ac:dyDescent="0.3">
      <c r="C65">
        <v>9702</v>
      </c>
      <c r="D65" s="6" t="s">
        <v>757</v>
      </c>
      <c r="E65" s="6" t="s">
        <v>757</v>
      </c>
      <c r="J65" t="str">
        <f>"("&amp;VLOOKUP("kalkulatorisches Eigenkapital",Hilfstabelle!C2:D451,2,FALSE)&amp;"+i212)/("&amp;VLOOKUP("Anlagevermögen ohne Boden",Hilfstabelle!C2:D451,2,FALSE)&amp;"+"&amp;VLOOKUP("Kalk. Bodenwert",Hilfstabelle!C2:D451,2,FALSE)&amp;")"</f>
        <v>(F6920+i212)/(F5220+F5520)</v>
      </c>
      <c r="L65" t="s">
        <v>20</v>
      </c>
    </row>
    <row r="67" spans="3:15" x14ac:dyDescent="0.3">
      <c r="C67">
        <v>9711</v>
      </c>
      <c r="D67" t="s">
        <v>786</v>
      </c>
      <c r="E67" t="s">
        <v>786</v>
      </c>
      <c r="J67" t="str">
        <f>VLOOKUP("Umsatz Betrieb",Hilfstabelle!C2:D451,2,FALSE)&amp;"-("&amp;VLOOKUP("SpezialA Eigenproduktion",Hilfstabelle!C2:D451,2,FALSE)&amp;"+"&amp;VLOOKUP("SpezialA Handel/Dienstl",Hilfstabelle!C2:D451,2,FALSE)&amp;")"</f>
        <v>F3200-(F4310+F4340)</v>
      </c>
      <c r="L67" t="s">
        <v>20</v>
      </c>
    </row>
    <row r="68" spans="3:15" x14ac:dyDescent="0.3">
      <c r="C68">
        <v>9712</v>
      </c>
      <c r="D68" t="s">
        <v>787</v>
      </c>
      <c r="E68" t="s">
        <v>788</v>
      </c>
      <c r="J68" t="str">
        <f>VLOOKUP("Rohertrag",Hilfstabelle!C2:D451,2,FALSE)&amp;"/("&amp;VLOOKUP("Kalk. Lohnansatz",Hilfstabelle!C2:D451,2,FALSE)&amp;"+"&amp;VLOOKUP("Lohnaufwand",Hilfstabelle!C2:D451,2,FALSE)&amp;")"</f>
        <v>F9310/(F4710+F4400)</v>
      </c>
    </row>
    <row r="69" spans="3:15" x14ac:dyDescent="0.3">
      <c r="C69">
        <v>9713</v>
      </c>
      <c r="D69" t="s">
        <v>1903</v>
      </c>
      <c r="E69" t="s">
        <v>754</v>
      </c>
      <c r="J69" t="str">
        <f>VLOOKUP("BEinkommen",Hilfstabelle!C2:D451,2,FALSE)&amp;"/("&amp;VLOOKUP("Kalk. Lohnansatz",Hilfstabelle!C2:D451,2,FALSE)&amp;"+"&amp;VLOOKUP("Lohnaufwand",Hilfstabelle!C2:D451,2,FALSE)&amp;"+"&amp;(VLOOKUP("Zins kalk Vermögen (betriebl.)_N",Hilfstabelle!C2:D451,2,FALSE)&amp;")")</f>
        <v>F9320/(F4710+F4400+F5550)</v>
      </c>
    </row>
    <row r="71" spans="3:15" x14ac:dyDescent="0.3">
      <c r="C71">
        <v>9721</v>
      </c>
      <c r="D71" t="s">
        <v>745</v>
      </c>
      <c r="E71" t="s">
        <v>746</v>
      </c>
      <c r="F71" t="s">
        <v>1979</v>
      </c>
      <c r="J71" t="str">
        <f>VLOOKUP("BEinkommen",Hilfstabelle!C2:D451,2,FALSE)&amp;"-"&amp;VLOOKUP("Zins kalk Vermögen (betriebl.)_N",Hilfstabelle!C2:D451,2,FALSE)</f>
        <v>F9320-F5550</v>
      </c>
      <c r="L71" t="s">
        <v>20</v>
      </c>
      <c r="M71" t="str">
        <f t="shared" ref="M71:M74" si="6">IF($M$4="Arbeitskräfte","",IF($A71&gt;0,"F"&amp;$A71&amp;"_"&amp;$M$5,IF($B71&gt;0,"F"&amp;$B71&amp;"_"&amp;$M$5,"F"&amp;$C71&amp;"_"&amp;$M$5)))</f>
        <v/>
      </c>
      <c r="N71" t="str">
        <f t="shared" ref="N71:N74" si="7">IF($N$4="Flächen","",IF($A71&gt;0,"F"&amp;$A71&amp;"_"&amp;$N$5,IF($B71&gt;0,"F"&amp;$B71&amp;"_"&amp;$N$5,"F"&amp;$C71&amp;"_"&amp;$N$5)))</f>
        <v/>
      </c>
      <c r="O71" t="str">
        <f t="shared" ref="O71:O74" si="8">IF($O$4="Ertrag","",IF($A71&gt;0,"F"&amp;$A71&amp;"_"&amp;$O$5,IF($B71&gt;0,"F"&amp;$B71&amp;"_"&amp;$O$5,"F"&amp;$C71&amp;"_"&amp;$O$5)))</f>
        <v/>
      </c>
    </row>
    <row r="72" spans="3:15" x14ac:dyDescent="0.3">
      <c r="C72">
        <v>9722</v>
      </c>
      <c r="D72" t="s">
        <v>747</v>
      </c>
      <c r="E72" t="s">
        <v>748</v>
      </c>
      <c r="J72" t="str">
        <f>VLOOKUP("Gewinn",Hilfstabelle!C2:D451,2,FALSE)&amp;"-"&amp;VLOOKUP("Zins Eigenkapital",Hilfstabelle!C2:D451,2,FALSE)&amp;"+"&amp;VLOOKUP("Lohnaufwand",Hilfstabelle!C2:D451,2,FALSE)</f>
        <v>F9020-F6910+F4400</v>
      </c>
      <c r="L72" t="s">
        <v>20</v>
      </c>
      <c r="M72" t="str">
        <f t="shared" si="6"/>
        <v/>
      </c>
      <c r="N72" t="str">
        <f t="shared" si="7"/>
        <v/>
      </c>
      <c r="O72" t="str">
        <f t="shared" si="8"/>
        <v/>
      </c>
    </row>
    <row r="73" spans="3:15" x14ac:dyDescent="0.3">
      <c r="C73">
        <v>9723</v>
      </c>
      <c r="D73" t="s">
        <v>749</v>
      </c>
      <c r="E73" t="s">
        <v>750</v>
      </c>
      <c r="J73" t="str">
        <f>VLOOKUP("Ges ArbeitsErtrag Betrieb",Hilfstabelle!C2:D451,2,FALSE)&amp;"-"&amp;VLOOKUP("Lohnaufwand",Hilfstabelle!C2:D451,2,FALSE)</f>
        <v>F9721-F4400</v>
      </c>
      <c r="L73" t="s">
        <v>20</v>
      </c>
      <c r="M73" t="str">
        <f t="shared" si="6"/>
        <v/>
      </c>
      <c r="N73" t="str">
        <f t="shared" si="7"/>
        <v/>
      </c>
      <c r="O73" t="str">
        <f t="shared" si="8"/>
        <v/>
      </c>
    </row>
    <row r="74" spans="3:15" x14ac:dyDescent="0.3">
      <c r="C74">
        <v>9724</v>
      </c>
      <c r="D74" t="s">
        <v>751</v>
      </c>
      <c r="E74" t="s">
        <v>752</v>
      </c>
      <c r="J74" t="str">
        <f>VLOOKUP("Gewinn",Hilfstabelle!C2:D451,2,FALSE)&amp;"-"&amp;VLOOKUP("Zins EigenKapital",Hilfstabelle!C2:D451,2,FALSE)</f>
        <v>F9020-F6910</v>
      </c>
      <c r="L74" t="s">
        <v>20</v>
      </c>
      <c r="M74" t="str">
        <f t="shared" si="6"/>
        <v/>
      </c>
      <c r="N74" t="str">
        <f t="shared" si="7"/>
        <v/>
      </c>
      <c r="O74" t="str">
        <f t="shared" si="8"/>
        <v/>
      </c>
    </row>
    <row r="76" spans="3:15" x14ac:dyDescent="0.3">
      <c r="C76">
        <v>9731</v>
      </c>
      <c r="D76" t="s">
        <v>755</v>
      </c>
      <c r="E76" t="s">
        <v>755</v>
      </c>
      <c r="J76" t="str">
        <f>VLOOKUP("Vermögen (betriebl.)",Hilfstabelle!C2:D451,2,FALSE)&amp;"/"&amp;VLOOKUP("BEinkommen",Hilfstabelle!C2:D451,2,FALSE)</f>
        <v>F5120/F9320</v>
      </c>
    </row>
    <row r="77" spans="3:15" x14ac:dyDescent="0.3">
      <c r="C77">
        <v>9732</v>
      </c>
      <c r="D77" s="6" t="s">
        <v>758</v>
      </c>
      <c r="E77" t="s">
        <v>759</v>
      </c>
      <c r="F77" t="s">
        <v>1969</v>
      </c>
      <c r="J77" t="s">
        <v>760</v>
      </c>
      <c r="L77" t="s">
        <v>181</v>
      </c>
    </row>
    <row r="78" spans="3:15" x14ac:dyDescent="0.3">
      <c r="C78">
        <v>9733</v>
      </c>
      <c r="D78" s="6" t="s">
        <v>761</v>
      </c>
      <c r="E78" t="s">
        <v>762</v>
      </c>
      <c r="J78" t="str">
        <f>"("&amp;VLOOKUP("kalkulatorisches Eigenkapital",Hilfstabelle!C2:D451,2,FALSE)&amp;"/"&amp;VLOOKUP("Vermögen",Hilfstabelle!C2:D451,2,FALSE)&amp;")*!100"</f>
        <v>(F6920/F5130)*!100</v>
      </c>
      <c r="L78" t="s">
        <v>181</v>
      </c>
    </row>
    <row r="79" spans="3:15" x14ac:dyDescent="0.3">
      <c r="C79">
        <v>9734</v>
      </c>
      <c r="D79" s="6" t="s">
        <v>763</v>
      </c>
      <c r="E79" t="s">
        <v>764</v>
      </c>
      <c r="J79" t="str">
        <f>"("&amp;VLOOKUP("Zinsertrag EK",Hilfstabelle!C2:D451,2,FALSE)&amp;"/"&amp;VLOOKUP("kalkulatorisches Eigenkapital",Hilfstabelle!C2:D451,2,FALSE)&amp;")*!100"</f>
        <v>(F9100/F6920)*!100</v>
      </c>
      <c r="L79" t="s">
        <v>181</v>
      </c>
    </row>
    <row r="80" spans="3:15" x14ac:dyDescent="0.3">
      <c r="C80">
        <v>9735</v>
      </c>
      <c r="D80" s="26" t="s">
        <v>1954</v>
      </c>
      <c r="E80" s="6" t="s">
        <v>765</v>
      </c>
      <c r="J80" t="str">
        <f>"("&amp;VLOOKUP("Gewinn",Hilfstabelle!C2:D451,2,FALSE)&amp;"/"&amp;VLOOKUP("Summe Aktiva (laut Bilanz)",Hilfstabelle!C2:D451,2,FALSE)&amp;")*!100"</f>
        <v>(F9020/F5000)*!100</v>
      </c>
      <c r="L80" t="s">
        <v>20</v>
      </c>
    </row>
    <row r="82" spans="3:12" x14ac:dyDescent="0.3">
      <c r="C82">
        <v>9741</v>
      </c>
      <c r="D82" t="s">
        <v>789</v>
      </c>
      <c r="E82" t="s">
        <v>789</v>
      </c>
      <c r="F82" s="1"/>
      <c r="J82" t="str">
        <f>"(i180/"&amp;VLOOKUP("Anlagevermögen",Hilfstabelle!C2:D451,2,FALSE)&amp;")*!100"</f>
        <v>(i180/F5210)*!100</v>
      </c>
      <c r="L82" t="s">
        <v>181</v>
      </c>
    </row>
    <row r="83" spans="3:12" x14ac:dyDescent="0.3">
      <c r="C83">
        <v>9742</v>
      </c>
      <c r="D83" t="s">
        <v>790</v>
      </c>
      <c r="E83" t="s">
        <v>790</v>
      </c>
      <c r="J83" t="str">
        <f>"("&amp;VLOOKUP("Allgemeiner BA",Hilfstabelle!C2:D451,2,FALSE)&amp;"+"&amp;VLOOKUP("Kalk. Lohn unzurechenbar",Hilfstabelle!C2:D451,2,FALSE)&amp;"+"&amp;VLOOKUP("Sonst.UE",Hilfstabelle!C2:D451,2,FALSE)&amp;"+"&amp;VLOOKUP("Sonst.UA",Hilfstabelle!C2:D451,2,FALSE)&amp;"+"&amp;VLOOKUP("Zins EigenKapital",Hilfstabelle!C2:D451,2,FALSE)&amp;")/("&amp;VLOOKUP("SpezialA insg.",Hilfstabelle!C2:D451,2,FALSE)&amp;"+"&amp;VLOOKUP("Kalk. Lohn zurechenbar",Hilfstabelle!C2:D451,2,FALSE)&amp;")*!100"</f>
        <v>(F4500+F4716+F3020+F4020+F6910)/(F4300+F4717)*!100</v>
      </c>
      <c r="L83" t="s">
        <v>181</v>
      </c>
    </row>
    <row r="84" spans="3:12" x14ac:dyDescent="0.3">
      <c r="C84">
        <v>9743</v>
      </c>
      <c r="D84" t="s">
        <v>793</v>
      </c>
      <c r="E84" t="s">
        <v>793</v>
      </c>
      <c r="J84" t="str">
        <f>VLOOKUP("Nettoinvestitionen",Hilfstabelle!C2:D451,2,FALSE)&amp;"/"&amp;VLOOKUP("Anlagevermögen",Hilfstabelle!C2:D451,2,FALSE)</f>
        <v>F9550/F5210</v>
      </c>
      <c r="L84" t="s">
        <v>181</v>
      </c>
    </row>
    <row r="85" spans="3:12" x14ac:dyDescent="0.3">
      <c r="C85">
        <v>9744</v>
      </c>
      <c r="D85" t="s">
        <v>800</v>
      </c>
      <c r="E85" t="s">
        <v>800</v>
      </c>
      <c r="J85" t="str">
        <f>"(i214*!365)/"&amp;VLOOKUP("Sachaufwand",Hilfstabelle!C2:D451,2,FALSE)</f>
        <v>(i214*!365)/F4200</v>
      </c>
    </row>
    <row r="86" spans="3:12" x14ac:dyDescent="0.3">
      <c r="C86">
        <v>9745</v>
      </c>
      <c r="D86" t="s">
        <v>801</v>
      </c>
      <c r="J86" t="str">
        <f>VLOOKUP("BEinkommen",Hilfstabelle!C2:D451,2,FALSE)&amp;"-("&amp;VLOOKUP("Lohnaufwand",Hilfstabelle!C2:D451,2,FALSE)&amp;"/"&amp;VLOOKUP("Entlohnte AK",Hilfstabelle!C2:D451,2,FALSE)&amp;")"</f>
        <v>F9320-(F4400/F1100)</v>
      </c>
      <c r="L86" t="s">
        <v>20</v>
      </c>
    </row>
    <row r="109" spans="10:10" x14ac:dyDescent="0.3">
      <c r="J109" s="11"/>
    </row>
    <row r="110" spans="10:10" x14ac:dyDescent="0.3">
      <c r="J110" s="11"/>
    </row>
    <row r="111" spans="10:10" x14ac:dyDescent="0.3">
      <c r="J111" s="11"/>
    </row>
    <row r="112" spans="10:10" x14ac:dyDescent="0.3">
      <c r="J112" s="11"/>
    </row>
    <row r="114" spans="10:10" x14ac:dyDescent="0.3">
      <c r="J114" s="11"/>
    </row>
    <row r="116" spans="10:10" x14ac:dyDescent="0.3">
      <c r="J116" s="11"/>
    </row>
  </sheetData>
  <mergeCells count="14">
    <mergeCell ref="M2:R2"/>
    <mergeCell ref="K4:K5"/>
    <mergeCell ref="A5:C5"/>
    <mergeCell ref="I1:J1"/>
    <mergeCell ref="I2:J2"/>
    <mergeCell ref="I3:J3"/>
    <mergeCell ref="G2:H2"/>
    <mergeCell ref="G3:H3"/>
    <mergeCell ref="G1:H1"/>
    <mergeCell ref="D4:D5"/>
    <mergeCell ref="F4:F5"/>
    <mergeCell ref="G4:G5"/>
    <mergeCell ref="J4:J5"/>
    <mergeCell ref="A1:C1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800-000000000000}">
          <x14:formula1>
            <xm:f>Hilfstabelle!$O$1:$O$6</xm:f>
          </x14:formula1>
          <xm:sqref>M4</xm:sqref>
        </x14:dataValidation>
        <x14:dataValidation type="list" allowBlank="1" showInputMessage="1" showErrorMessage="1" xr:uid="{00000000-0002-0000-0800-000001000000}">
          <x14:formula1>
            <xm:f>Hilfstabelle!$P$1:$P$12</xm:f>
          </x14:formula1>
          <xm:sqref>N4</xm:sqref>
        </x14:dataValidation>
        <x14:dataValidation type="list" allowBlank="1" showInputMessage="1" showErrorMessage="1" xr:uid="{00000000-0002-0000-0800-000002000000}">
          <x14:formula1>
            <xm:f>Hilfstabelle!$Q$1:$Q$11</xm:f>
          </x14:formula1>
          <xm:sqref>O4</xm:sqref>
        </x14:dataValidation>
        <x14:dataValidation type="list" allowBlank="1" showInputMessage="1" showErrorMessage="1" xr:uid="{00000000-0002-0000-0800-000003000000}">
          <x14:formula1>
            <xm:f>Hilfstabelle!$R$1:$R$3</xm:f>
          </x14:formula1>
          <xm:sqref>P4</xm:sqref>
        </x14:dataValidation>
        <x14:dataValidation type="list" allowBlank="1" showInputMessage="1" showErrorMessage="1" xr:uid="{00000000-0002-0000-0800-000004000000}">
          <x14:formula1>
            <xm:f>Hilfstabelle!$T$1:$T$4</xm:f>
          </x14:formula1>
          <xm:sqref>R4</xm:sqref>
        </x14:dataValidation>
        <x14:dataValidation type="list" allowBlank="1" showInputMessage="1" showErrorMessage="1" xr:uid="{00000000-0002-0000-0800-000005000000}">
          <x14:formula1>
            <xm:f>Hilfstabelle!$U$1:$U$2</xm:f>
          </x14:formula1>
          <xm:sqref>Q4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Erläuterungen</vt:lpstr>
      <vt:lpstr>Kennzahlenlegende (Heft)</vt:lpstr>
      <vt:lpstr>1000_Arbeitskräfte</vt:lpstr>
      <vt:lpstr>2000_Flächen</vt:lpstr>
      <vt:lpstr>3000_Erträge</vt:lpstr>
      <vt:lpstr>4000_Aufwand</vt:lpstr>
      <vt:lpstr>5000_Vermögen</vt:lpstr>
      <vt:lpstr>6000_Kapital</vt:lpstr>
      <vt:lpstr>9000_Kennzahlen</vt:lpstr>
      <vt:lpstr>Hilfstabelle</vt:lpstr>
      <vt:lpstr>Änderungen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Hecht</dc:creator>
  <cp:lastModifiedBy>Anastasia Hermann</cp:lastModifiedBy>
  <dcterms:created xsi:type="dcterms:W3CDTF">2023-03-06T14:36:33Z</dcterms:created>
  <dcterms:modified xsi:type="dcterms:W3CDTF">2025-01-09T08:24:28Z</dcterms:modified>
</cp:coreProperties>
</file>